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drawings/drawing7.xml" ContentType="application/vnd.openxmlformats-officedocument.drawing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8.xml" ContentType="application/vnd.openxmlformats-officedocument.drawing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drawings/drawing9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/>
  <mc:AlternateContent xmlns:mc="http://schemas.openxmlformats.org/markup-compatibility/2006">
    <mc:Choice Requires="x15">
      <x15ac:absPath xmlns:x15ac="http://schemas.microsoft.com/office/spreadsheetml/2010/11/ac" url="C:\Users\A430212\OneDrive - DEKRA SE\Skrivbordet\Sodahuskommitten\Rapporter\2025-1 Deposits\"/>
    </mc:Choice>
  </mc:AlternateContent>
  <xr:revisionPtr revIDLastSave="2" documentId="8_{142DD7DD-AB15-4F37-B12E-AF3BA23337D5}" xr6:coauthVersionLast="44" xr6:coauthVersionMax="44" xr10:uidLastSave="{A203E01D-25BD-4F34-8939-869FA0567D6F}"/>
  <bookViews>
    <workbookView xWindow="-120" yWindow="-120" windowWidth="29040" windowHeight="15720" tabRatio="948" xr2:uid="{73CDA5AB-15D6-4C7C-A16C-3AB112347096}"/>
  </bookViews>
  <sheets>
    <sheet name="I &amp; O" sheetId="27" r:id="rId1"/>
    <sheet name="I &amp; O Exp" sheetId="17" r:id="rId2"/>
    <sheet name="Result screen" sheetId="30" r:id="rId3"/>
    <sheet name="CM" sheetId="19" r:id="rId4"/>
    <sheet name="q-Q" sheetId="22" r:id="rId5"/>
    <sheet name="l-v table" sheetId="14" r:id="rId6"/>
    <sheet name="k-T" sheetId="23" r:id="rId7"/>
    <sheet name="CR-T" sheetId="24" r:id="rId8"/>
    <sheet name="l-q" sheetId="21" r:id="rId9"/>
    <sheet name="T-xd, CR-xd" sheetId="25" r:id="rId10"/>
    <sheet name="l-CR" sheetId="28" r:id="rId11"/>
    <sheet name="T-x" sheetId="26" r:id="rId1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2" i="30" l="1"/>
  <c r="E16" i="17" l="1"/>
  <c r="S76" i="24"/>
  <c r="R76" i="24"/>
  <c r="S75" i="24"/>
  <c r="R75" i="24"/>
  <c r="S74" i="24"/>
  <c r="R74" i="24"/>
  <c r="S73" i="24"/>
  <c r="R73" i="24"/>
  <c r="O5" i="25" l="1"/>
  <c r="P5" i="25"/>
  <c r="N4" i="25"/>
  <c r="O4" i="25"/>
  <c r="P4" i="25"/>
  <c r="O3" i="25"/>
  <c r="P3" i="25"/>
  <c r="N3" i="25"/>
  <c r="K7" i="24"/>
  <c r="J7" i="24"/>
  <c r="E100" i="19"/>
  <c r="E94" i="19"/>
  <c r="E58" i="19"/>
  <c r="E60" i="19" s="1"/>
  <c r="E43" i="19"/>
  <c r="E35" i="19"/>
  <c r="E36" i="19" s="1"/>
  <c r="L3" i="21"/>
  <c r="K12" i="21"/>
  <c r="K11" i="21"/>
  <c r="K10" i="21"/>
  <c r="K9" i="21"/>
  <c r="K8" i="21"/>
  <c r="K7" i="21"/>
  <c r="K6" i="21"/>
  <c r="K5" i="21"/>
  <c r="K4" i="21"/>
  <c r="G9" i="21" a="1"/>
  <c r="G9" i="21" s="1"/>
  <c r="G8" i="21" a="1"/>
  <c r="G8" i="21" s="1"/>
  <c r="G7" i="21" a="1"/>
  <c r="G7" i="21" s="1"/>
  <c r="G6" i="21" a="1"/>
  <c r="G6" i="21" s="1"/>
  <c r="G5" i="21" a="1"/>
  <c r="G5" i="21" s="1"/>
  <c r="G4" i="21" a="1"/>
  <c r="G4" i="21" s="1"/>
  <c r="E22" i="19"/>
  <c r="E23" i="19" s="1"/>
  <c r="B19" i="19"/>
  <c r="B18" i="19"/>
  <c r="E9" i="19" l="1"/>
  <c r="C105" i="21"/>
  <c r="E7" i="17"/>
  <c r="E65" i="19" s="1"/>
  <c r="G32" i="19" l="1"/>
  <c r="G33" i="19" s="1"/>
  <c r="G5" i="22" l="1"/>
  <c r="E4" i="17" l="1"/>
  <c r="E5" i="17"/>
  <c r="E6" i="17"/>
  <c r="E8" i="17"/>
  <c r="E9" i="17"/>
  <c r="E10" i="17"/>
  <c r="E41" i="19" s="1"/>
  <c r="L22" i="17" s="1"/>
  <c r="E11" i="17"/>
  <c r="E12" i="17"/>
  <c r="E13" i="17"/>
  <c r="E14" i="17"/>
  <c r="E15" i="17"/>
  <c r="E42" i="19" l="1"/>
  <c r="E44" i="19" s="1"/>
  <c r="E17" i="30"/>
  <c r="E15" i="19"/>
  <c r="F110" i="19" l="1"/>
  <c r="E61" i="19" l="1"/>
  <c r="E63" i="19" l="1"/>
  <c r="E64" i="19" l="1"/>
  <c r="A98" i="14" s="1"/>
  <c r="G110" i="19"/>
  <c r="E48" i="30" l="1"/>
  <c r="E38" i="30"/>
  <c r="H2" i="30"/>
  <c r="G2" i="30"/>
  <c r="F2" i="30"/>
  <c r="D2" i="30"/>
  <c r="C2" i="30"/>
  <c r="B2" i="30"/>
  <c r="Y3" i="26" l="1"/>
  <c r="Y4" i="26"/>
  <c r="Y5" i="26"/>
  <c r="Y6" i="26"/>
  <c r="Y7" i="26"/>
  <c r="Y8" i="26"/>
  <c r="W4" i="26"/>
  <c r="W5" i="26"/>
  <c r="W6" i="26"/>
  <c r="W7" i="26"/>
  <c r="W8" i="26"/>
  <c r="K3" i="28"/>
  <c r="O11" i="25"/>
  <c r="L9" i="28" s="1"/>
  <c r="P11" i="25"/>
  <c r="M9" i="28" s="1"/>
  <c r="N11" i="25"/>
  <c r="K9" i="28" s="1"/>
  <c r="N15" i="25"/>
  <c r="K12" i="28" s="1"/>
  <c r="O15" i="25"/>
  <c r="L12" i="28" s="1"/>
  <c r="N16" i="25"/>
  <c r="K13" i="28" s="1"/>
  <c r="O16" i="25"/>
  <c r="L13" i="28" s="1"/>
  <c r="N17" i="25"/>
  <c r="K14" i="28" s="1"/>
  <c r="O17" i="25"/>
  <c r="L14" i="28" s="1"/>
  <c r="N18" i="25"/>
  <c r="K15" i="28" s="1"/>
  <c r="O18" i="25"/>
  <c r="L15" i="28" s="1"/>
  <c r="P18" i="25"/>
  <c r="M15" i="28" s="1"/>
  <c r="O7" i="25"/>
  <c r="L5" i="28" s="1"/>
  <c r="P7" i="25"/>
  <c r="M5" i="28" s="1"/>
  <c r="N7" i="25"/>
  <c r="K5" i="28" s="1"/>
  <c r="O9" i="25"/>
  <c r="L7" i="28" s="1"/>
  <c r="P9" i="25"/>
  <c r="M7" i="28" s="1"/>
  <c r="N9" i="25"/>
  <c r="K7" i="28" s="1"/>
  <c r="O10" i="25"/>
  <c r="L8" i="28" s="1"/>
  <c r="P10" i="25"/>
  <c r="M8" i="28" s="1"/>
  <c r="N10" i="25"/>
  <c r="K8" i="28" s="1"/>
  <c r="O12" i="25"/>
  <c r="P12" i="25"/>
  <c r="N12" i="25"/>
  <c r="O13" i="25"/>
  <c r="L10" i="28" s="1"/>
  <c r="P13" i="25"/>
  <c r="M10" i="28" s="1"/>
  <c r="N13" i="25"/>
  <c r="K10" i="28" s="1"/>
  <c r="O14" i="25"/>
  <c r="L11" i="28" s="1"/>
  <c r="P14" i="25"/>
  <c r="M11" i="28" s="1"/>
  <c r="N14" i="25"/>
  <c r="K11" i="28" s="1"/>
  <c r="O8" i="25"/>
  <c r="L6" i="28" s="1"/>
  <c r="P8" i="25"/>
  <c r="M6" i="28" s="1"/>
  <c r="N8" i="25"/>
  <c r="K6" i="28" s="1"/>
  <c r="O6" i="25"/>
  <c r="L4" i="28" s="1"/>
  <c r="P6" i="25"/>
  <c r="M4" i="28" s="1"/>
  <c r="N6" i="25"/>
  <c r="K4" i="28" s="1"/>
  <c r="N5" i="25"/>
  <c r="L3" i="28"/>
  <c r="M3" i="28"/>
  <c r="O2" i="25"/>
  <c r="L2" i="28" s="1"/>
  <c r="P2" i="25"/>
  <c r="M2" i="28" s="1"/>
  <c r="Q2" i="25"/>
  <c r="N2" i="28" s="1"/>
  <c r="R2" i="25"/>
  <c r="O2" i="28" s="1"/>
  <c r="S2" i="25"/>
  <c r="T2" i="25"/>
  <c r="N2" i="25"/>
  <c r="K2" i="28" s="1"/>
  <c r="B2" i="27"/>
  <c r="X3" i="26"/>
  <c r="L16" i="17"/>
  <c r="X8" i="26"/>
  <c r="L37" i="17"/>
  <c r="AA8" i="26" s="1"/>
  <c r="X5" i="26"/>
  <c r="O3" i="17"/>
  <c r="O3" i="27" s="1"/>
  <c r="N3" i="17"/>
  <c r="N3" i="27" s="1"/>
  <c r="J3" i="17"/>
  <c r="J3" i="27" s="1"/>
  <c r="K3" i="17"/>
  <c r="K3" i="27" s="1"/>
  <c r="L3" i="17"/>
  <c r="Z2" i="26" s="1"/>
  <c r="M3" i="17"/>
  <c r="M3" i="27" s="1"/>
  <c r="I3" i="17"/>
  <c r="I3" i="27" s="1"/>
  <c r="R18" i="25"/>
  <c r="O15" i="28" s="1"/>
  <c r="S18" i="25"/>
  <c r="G107" i="19"/>
  <c r="S15" i="25" s="1"/>
  <c r="H107" i="19"/>
  <c r="T15" i="25" s="1"/>
  <c r="G108" i="19"/>
  <c r="S16" i="25" s="1"/>
  <c r="H108" i="19"/>
  <c r="G109" i="19"/>
  <c r="S17" i="25" s="1"/>
  <c r="H109" i="19"/>
  <c r="T17" i="25" s="1"/>
  <c r="F107" i="19"/>
  <c r="R15" i="25" s="1"/>
  <c r="O12" i="28" s="1"/>
  <c r="F108" i="19"/>
  <c r="R16" i="25" s="1"/>
  <c r="O13" i="28" s="1"/>
  <c r="F109" i="19"/>
  <c r="R17" i="25" s="1"/>
  <c r="O14" i="28" s="1"/>
  <c r="E107" i="19"/>
  <c r="Q15" i="25" s="1"/>
  <c r="N12" i="28" s="1"/>
  <c r="E108" i="19"/>
  <c r="Q16" i="25" s="1"/>
  <c r="N13" i="28" s="1"/>
  <c r="E109" i="19"/>
  <c r="Q17" i="25" s="1"/>
  <c r="N14" i="28" s="1"/>
  <c r="H100" i="19"/>
  <c r="F100" i="19"/>
  <c r="G100" i="19"/>
  <c r="H98" i="19"/>
  <c r="H97" i="19"/>
  <c r="F97" i="19"/>
  <c r="F98" i="19"/>
  <c r="G98" i="19"/>
  <c r="G97" i="19"/>
  <c r="E97" i="19"/>
  <c r="E98" i="19"/>
  <c r="E51" i="19"/>
  <c r="G51" i="19" s="1"/>
  <c r="C3" i="19"/>
  <c r="E13" i="21"/>
  <c r="E91" i="19"/>
  <c r="E92" i="19"/>
  <c r="E90" i="19"/>
  <c r="F51" i="19"/>
  <c r="H51" i="19" s="1"/>
  <c r="G4" i="22"/>
  <c r="C4" i="28"/>
  <c r="D4" i="28"/>
  <c r="C5" i="28"/>
  <c r="D5" i="28"/>
  <c r="C6" i="28"/>
  <c r="D6" i="28"/>
  <c r="C7" i="28"/>
  <c r="D7" i="28"/>
  <c r="C8" i="28"/>
  <c r="D8" i="28"/>
  <c r="C9" i="28"/>
  <c r="D9" i="28"/>
  <c r="C10" i="28"/>
  <c r="D10" i="28"/>
  <c r="C11" i="28"/>
  <c r="D11" i="28"/>
  <c r="C12" i="28"/>
  <c r="D12" i="28"/>
  <c r="C13" i="28"/>
  <c r="D13" i="28"/>
  <c r="C14" i="28"/>
  <c r="D14" i="28"/>
  <c r="C15" i="28"/>
  <c r="D15" i="28"/>
  <c r="C16" i="28"/>
  <c r="D16" i="28"/>
  <c r="C17" i="28"/>
  <c r="D17" i="28"/>
  <c r="C18" i="28"/>
  <c r="D18" i="28"/>
  <c r="C19" i="28"/>
  <c r="D19" i="28"/>
  <c r="C20" i="28"/>
  <c r="D20" i="28"/>
  <c r="C21" i="28"/>
  <c r="D21" i="28"/>
  <c r="C22" i="28"/>
  <c r="D22" i="28"/>
  <c r="C23" i="28"/>
  <c r="D23" i="28"/>
  <c r="C24" i="28"/>
  <c r="D24" i="28"/>
  <c r="C25" i="28"/>
  <c r="D25" i="28"/>
  <c r="C26" i="28"/>
  <c r="D26" i="28"/>
  <c r="C27" i="28"/>
  <c r="D27" i="28"/>
  <c r="C28" i="28"/>
  <c r="D28" i="28"/>
  <c r="C29" i="28"/>
  <c r="D29" i="28"/>
  <c r="C30" i="28"/>
  <c r="D30" i="28"/>
  <c r="C31" i="28"/>
  <c r="D31" i="28"/>
  <c r="C32" i="28"/>
  <c r="C33" i="28"/>
  <c r="C34" i="28"/>
  <c r="C35" i="28"/>
  <c r="C36" i="28"/>
  <c r="C37" i="28"/>
  <c r="C38" i="28"/>
  <c r="C39" i="28"/>
  <c r="C40" i="28"/>
  <c r="C41" i="28"/>
  <c r="C42" i="28"/>
  <c r="C43" i="28"/>
  <c r="C44" i="28"/>
  <c r="C45" i="28"/>
  <c r="C46" i="28"/>
  <c r="C47" i="28"/>
  <c r="C48" i="28"/>
  <c r="C49" i="28"/>
  <c r="C50" i="28"/>
  <c r="C51" i="28"/>
  <c r="C52" i="28"/>
  <c r="C53" i="28"/>
  <c r="C54" i="28"/>
  <c r="C55" i="28"/>
  <c r="C56" i="28"/>
  <c r="C57" i="28"/>
  <c r="C58" i="28"/>
  <c r="C59" i="28"/>
  <c r="C60" i="28"/>
  <c r="C61" i="28"/>
  <c r="C62" i="28"/>
  <c r="C63" i="28"/>
  <c r="C64" i="28"/>
  <c r="C65" i="28"/>
  <c r="C66" i="28"/>
  <c r="C67" i="28"/>
  <c r="C68" i="28"/>
  <c r="C69" i="28"/>
  <c r="C70" i="28"/>
  <c r="C71" i="28"/>
  <c r="C72" i="28"/>
  <c r="C73" i="28"/>
  <c r="C74" i="28"/>
  <c r="C75" i="28"/>
  <c r="C76" i="28"/>
  <c r="C77" i="28"/>
  <c r="C78" i="28"/>
  <c r="C79" i="28"/>
  <c r="C80" i="28"/>
  <c r="C81" i="28"/>
  <c r="C82" i="28"/>
  <c r="C83" i="28"/>
  <c r="C84" i="28"/>
  <c r="C85" i="28"/>
  <c r="C86" i="28"/>
  <c r="C87" i="28"/>
  <c r="C88" i="28"/>
  <c r="C89" i="28"/>
  <c r="C90" i="28"/>
  <c r="C91" i="28"/>
  <c r="C92" i="28"/>
  <c r="C93" i="28"/>
  <c r="C94" i="28"/>
  <c r="C95" i="28"/>
  <c r="C96" i="28"/>
  <c r="C97" i="28"/>
  <c r="C98" i="28"/>
  <c r="C99" i="28"/>
  <c r="C100" i="28"/>
  <c r="C101" i="28"/>
  <c r="C102" i="28"/>
  <c r="C103" i="28"/>
  <c r="C104" i="28"/>
  <c r="D2" i="28"/>
  <c r="C2" i="28"/>
  <c r="E24" i="30" l="1"/>
  <c r="E21" i="30"/>
  <c r="N10" i="17"/>
  <c r="N7" i="27" s="1"/>
  <c r="G14" i="30"/>
  <c r="T16" i="25"/>
  <c r="L3" i="27"/>
  <c r="Y2" i="26"/>
  <c r="W2" i="26"/>
  <c r="X7" i="26"/>
  <c r="X4" i="26"/>
  <c r="AA2" i="26"/>
  <c r="Z8" i="26"/>
  <c r="X2" i="26"/>
  <c r="X6" i="26"/>
  <c r="W3" i="26"/>
  <c r="L25" i="17"/>
  <c r="H110" i="19"/>
  <c r="T18" i="25" s="1"/>
  <c r="E110" i="19"/>
  <c r="Q18" i="25" s="1"/>
  <c r="N15" i="28" s="1"/>
  <c r="L26" i="17" l="1"/>
  <c r="E25" i="30"/>
  <c r="E20" i="30"/>
  <c r="G6" i="22"/>
  <c r="G7" i="22"/>
  <c r="B96" i="14" l="1"/>
  <c r="B98" i="14" s="1"/>
  <c r="C96" i="14" l="1" a="1"/>
  <c r="C96" i="14" s="1"/>
  <c r="C98" i="14" s="1"/>
  <c r="D96" i="14" a="1"/>
  <c r="D96" i="14" s="1"/>
  <c r="E72" i="19" s="1"/>
  <c r="W96" i="14" a="1"/>
  <c r="W96" i="14" s="1"/>
  <c r="G14" i="17"/>
  <c r="E82" i="19" s="1"/>
  <c r="G8" i="17"/>
  <c r="E4" i="19" s="1"/>
  <c r="B8" i="22" s="1"/>
  <c r="C8" i="22" s="1"/>
  <c r="E45" i="19"/>
  <c r="E46" i="19" s="1"/>
  <c r="E48" i="19" s="1"/>
  <c r="E55" i="19" s="1"/>
  <c r="B3" i="19"/>
  <c r="E25" i="19"/>
  <c r="E11" i="21" s="1"/>
  <c r="F11" i="21" s="1"/>
  <c r="G11" i="21" s="1" a="1"/>
  <c r="G11" i="21" s="1"/>
  <c r="V65" i="14"/>
  <c r="V66" i="14"/>
  <c r="V67" i="14"/>
  <c r="V68" i="14"/>
  <c r="V69" i="14"/>
  <c r="V70" i="14"/>
  <c r="V71" i="14"/>
  <c r="V72" i="14"/>
  <c r="V73" i="14"/>
  <c r="V74" i="14"/>
  <c r="V75" i="14"/>
  <c r="V76" i="14"/>
  <c r="V77" i="14"/>
  <c r="V78" i="14"/>
  <c r="V79" i="14"/>
  <c r="V80" i="14"/>
  <c r="V81" i="14"/>
  <c r="V82" i="14"/>
  <c r="V83" i="14"/>
  <c r="V84" i="14"/>
  <c r="V85" i="14"/>
  <c r="V86" i="14"/>
  <c r="V87" i="14"/>
  <c r="V88" i="14"/>
  <c r="V89" i="14"/>
  <c r="V90" i="14"/>
  <c r="V91" i="14"/>
  <c r="V92" i="14"/>
  <c r="V93" i="14"/>
  <c r="V94" i="14"/>
  <c r="AB65" i="14"/>
  <c r="AB66" i="14"/>
  <c r="AB67" i="14"/>
  <c r="AB68" i="14"/>
  <c r="AB69" i="14"/>
  <c r="AB70" i="14"/>
  <c r="AB71" i="14"/>
  <c r="AB72" i="14"/>
  <c r="AB73" i="14"/>
  <c r="AB74" i="14"/>
  <c r="AB75" i="14"/>
  <c r="AB76" i="14"/>
  <c r="AB77" i="14"/>
  <c r="AB78" i="14"/>
  <c r="AB79" i="14"/>
  <c r="AB80" i="14"/>
  <c r="AB81" i="14"/>
  <c r="AB82" i="14"/>
  <c r="AB83" i="14"/>
  <c r="AB84" i="14"/>
  <c r="AB85" i="14"/>
  <c r="AB86" i="14"/>
  <c r="AB87" i="14"/>
  <c r="AB88" i="14"/>
  <c r="AB89" i="14"/>
  <c r="AB90" i="14"/>
  <c r="AB91" i="14"/>
  <c r="AB92" i="14"/>
  <c r="AB93" i="14"/>
  <c r="AB94" i="14"/>
  <c r="AA65" i="14"/>
  <c r="AA66" i="14"/>
  <c r="AA67" i="14"/>
  <c r="AA68" i="14"/>
  <c r="AA69" i="14"/>
  <c r="AA70" i="14"/>
  <c r="AA71" i="14"/>
  <c r="AA72" i="14"/>
  <c r="AA73" i="14"/>
  <c r="AA74" i="14"/>
  <c r="AA75" i="14"/>
  <c r="AA76" i="14"/>
  <c r="AA77" i="14"/>
  <c r="AA78" i="14"/>
  <c r="AA79" i="14"/>
  <c r="AA80" i="14"/>
  <c r="AA81" i="14"/>
  <c r="AA82" i="14"/>
  <c r="AA83" i="14"/>
  <c r="AA84" i="14"/>
  <c r="AA85" i="14"/>
  <c r="AA86" i="14"/>
  <c r="AA87" i="14"/>
  <c r="AA88" i="14"/>
  <c r="AA89" i="14"/>
  <c r="AA90" i="14"/>
  <c r="AA91" i="14"/>
  <c r="AA92" i="14"/>
  <c r="AA93" i="14"/>
  <c r="AA94" i="14"/>
  <c r="Z65" i="14"/>
  <c r="Z66" i="14"/>
  <c r="Z67" i="14"/>
  <c r="Z68" i="14"/>
  <c r="Z69" i="14"/>
  <c r="Z70" i="14"/>
  <c r="Z71" i="14"/>
  <c r="Z72" i="14"/>
  <c r="Z73" i="14"/>
  <c r="Z74" i="14"/>
  <c r="Z75" i="14"/>
  <c r="Z76" i="14"/>
  <c r="Z77" i="14"/>
  <c r="Z78" i="14"/>
  <c r="Z79" i="14"/>
  <c r="Z80" i="14"/>
  <c r="Z81" i="14"/>
  <c r="Z82" i="14"/>
  <c r="Z83" i="14"/>
  <c r="Z84" i="14"/>
  <c r="Z85" i="14"/>
  <c r="Z86" i="14"/>
  <c r="Z87" i="14"/>
  <c r="Z88" i="14"/>
  <c r="Z89" i="14"/>
  <c r="Z90" i="14"/>
  <c r="Z91" i="14"/>
  <c r="Z92" i="14"/>
  <c r="Z93" i="14"/>
  <c r="Z94" i="14"/>
  <c r="Y65" i="14"/>
  <c r="Y66" i="14"/>
  <c r="Y67" i="14"/>
  <c r="Y68" i="14"/>
  <c r="Y69" i="14"/>
  <c r="Y70" i="14"/>
  <c r="Y71" i="14"/>
  <c r="Y72" i="14"/>
  <c r="Y73" i="14"/>
  <c r="Y74" i="14"/>
  <c r="Y75" i="14"/>
  <c r="Y76" i="14"/>
  <c r="Y77" i="14"/>
  <c r="Y78" i="14"/>
  <c r="Y79" i="14"/>
  <c r="Y80" i="14"/>
  <c r="Y81" i="14"/>
  <c r="Y82" i="14"/>
  <c r="Y83" i="14"/>
  <c r="Y84" i="14"/>
  <c r="Y85" i="14"/>
  <c r="Y86" i="14"/>
  <c r="Y87" i="14"/>
  <c r="Y88" i="14"/>
  <c r="Y89" i="14"/>
  <c r="Y90" i="14"/>
  <c r="Y91" i="14"/>
  <c r="Y92" i="14"/>
  <c r="Y93" i="14"/>
  <c r="Y94" i="14"/>
  <c r="F65" i="14"/>
  <c r="F66" i="14"/>
  <c r="F67" i="14"/>
  <c r="F68" i="14"/>
  <c r="F69" i="14"/>
  <c r="F70" i="14"/>
  <c r="F71" i="14"/>
  <c r="F72" i="14"/>
  <c r="F73" i="14"/>
  <c r="F74" i="14"/>
  <c r="F75" i="14"/>
  <c r="F76" i="14"/>
  <c r="F77" i="14"/>
  <c r="F78" i="14"/>
  <c r="F79" i="14"/>
  <c r="F80" i="14"/>
  <c r="F81" i="14"/>
  <c r="F82" i="14"/>
  <c r="F83" i="14"/>
  <c r="F84" i="14"/>
  <c r="F85" i="14"/>
  <c r="F86" i="14"/>
  <c r="F87" i="14"/>
  <c r="F88" i="14"/>
  <c r="F89" i="14"/>
  <c r="F90" i="14"/>
  <c r="F91" i="14"/>
  <c r="F92" i="14"/>
  <c r="F93" i="14"/>
  <c r="F94" i="14"/>
  <c r="F64" i="14"/>
  <c r="L65" i="14"/>
  <c r="L66" i="14"/>
  <c r="L67" i="14"/>
  <c r="L68" i="14"/>
  <c r="L69" i="14"/>
  <c r="L70" i="14"/>
  <c r="L71" i="14"/>
  <c r="L72" i="14"/>
  <c r="L73" i="14"/>
  <c r="L74" i="14"/>
  <c r="L75" i="14"/>
  <c r="L76" i="14"/>
  <c r="L77" i="14"/>
  <c r="L78" i="14"/>
  <c r="L79" i="14"/>
  <c r="L80" i="14"/>
  <c r="L81" i="14"/>
  <c r="L82" i="14"/>
  <c r="L83" i="14"/>
  <c r="L84" i="14"/>
  <c r="L85" i="14"/>
  <c r="L86" i="14"/>
  <c r="L87" i="14"/>
  <c r="L88" i="14"/>
  <c r="L89" i="14"/>
  <c r="L90" i="14"/>
  <c r="L91" i="14"/>
  <c r="L92" i="14"/>
  <c r="L93" i="14"/>
  <c r="L94" i="14"/>
  <c r="K89" i="14"/>
  <c r="K65" i="14"/>
  <c r="K66" i="14"/>
  <c r="K67" i="14"/>
  <c r="K68" i="14"/>
  <c r="K69" i="14"/>
  <c r="K70" i="14"/>
  <c r="K71" i="14"/>
  <c r="K72" i="14"/>
  <c r="K73" i="14"/>
  <c r="K74" i="14"/>
  <c r="K75" i="14"/>
  <c r="K76" i="14"/>
  <c r="K77" i="14"/>
  <c r="K78" i="14"/>
  <c r="K79" i="14"/>
  <c r="K80" i="14"/>
  <c r="K81" i="14"/>
  <c r="K82" i="14"/>
  <c r="K83" i="14"/>
  <c r="K84" i="14"/>
  <c r="K85" i="14"/>
  <c r="K86" i="14"/>
  <c r="K87" i="14"/>
  <c r="K88" i="14"/>
  <c r="K90" i="14"/>
  <c r="K91" i="14"/>
  <c r="K92" i="14"/>
  <c r="K93" i="14"/>
  <c r="K94" i="14"/>
  <c r="J65" i="14"/>
  <c r="J66" i="14"/>
  <c r="J67" i="14"/>
  <c r="J68" i="14"/>
  <c r="J69" i="14"/>
  <c r="J70" i="14"/>
  <c r="J71" i="14"/>
  <c r="J72" i="14"/>
  <c r="J73" i="14"/>
  <c r="J74" i="14"/>
  <c r="J75" i="14"/>
  <c r="J76" i="14"/>
  <c r="J77" i="14"/>
  <c r="J78" i="14"/>
  <c r="J79" i="14"/>
  <c r="J80" i="14"/>
  <c r="J81" i="14"/>
  <c r="J82" i="14"/>
  <c r="J83" i="14"/>
  <c r="J84" i="14"/>
  <c r="J85" i="14"/>
  <c r="J86" i="14"/>
  <c r="J87" i="14"/>
  <c r="J88" i="14"/>
  <c r="J89" i="14"/>
  <c r="J90" i="14"/>
  <c r="J91" i="14"/>
  <c r="J92" i="14"/>
  <c r="J93" i="14"/>
  <c r="J94" i="14"/>
  <c r="I65" i="14"/>
  <c r="I66" i="14"/>
  <c r="I67" i="14"/>
  <c r="I68" i="14"/>
  <c r="I69" i="14"/>
  <c r="I70" i="14"/>
  <c r="I71" i="14"/>
  <c r="I72" i="14"/>
  <c r="I73" i="14"/>
  <c r="I74" i="14"/>
  <c r="I75" i="14"/>
  <c r="I76" i="14"/>
  <c r="I77" i="14"/>
  <c r="I78" i="14"/>
  <c r="I79" i="14"/>
  <c r="I80" i="14"/>
  <c r="I81" i="14"/>
  <c r="I82" i="14"/>
  <c r="I83" i="14"/>
  <c r="I84" i="14"/>
  <c r="I85" i="14"/>
  <c r="I86" i="14"/>
  <c r="I87" i="14"/>
  <c r="I88" i="14"/>
  <c r="I89" i="14"/>
  <c r="I90" i="14"/>
  <c r="I91" i="14"/>
  <c r="I92" i="14"/>
  <c r="I93" i="14"/>
  <c r="I94" i="14"/>
  <c r="I64" i="14"/>
  <c r="G19" i="19"/>
  <c r="E56" i="19" l="1"/>
  <c r="E74" i="19" s="1"/>
  <c r="L23" i="17"/>
  <c r="E22" i="30"/>
  <c r="D98" i="14"/>
  <c r="E16" i="30"/>
  <c r="H49" i="19"/>
  <c r="F49" i="19"/>
  <c r="E49" i="19"/>
  <c r="E50" i="19" s="1"/>
  <c r="E52" i="19" s="1"/>
  <c r="E53" i="19" s="1"/>
  <c r="E54" i="19" s="1"/>
  <c r="G49" i="19"/>
  <c r="L21" i="17"/>
  <c r="E86" i="19"/>
  <c r="E39" i="30" s="1"/>
  <c r="G96" i="14" a="1"/>
  <c r="G96" i="14" s="1"/>
  <c r="G98" i="14" s="1"/>
  <c r="F96" i="14" a="1"/>
  <c r="F96" i="14" s="1"/>
  <c r="F98" i="14" s="1"/>
  <c r="X96" i="14" a="1"/>
  <c r="X96" i="14" s="1"/>
  <c r="E18" i="30" l="1"/>
  <c r="G41" i="30"/>
  <c r="E41" i="30"/>
  <c r="H41" i="30"/>
  <c r="F41" i="30"/>
  <c r="L17" i="17"/>
  <c r="G50" i="19"/>
  <c r="G52" i="19" s="1"/>
  <c r="G53" i="19" s="1"/>
  <c r="G54" i="19" s="1"/>
  <c r="N19" i="17"/>
  <c r="L19" i="17"/>
  <c r="F50" i="19"/>
  <c r="F52" i="19" s="1"/>
  <c r="F53" i="19" s="1"/>
  <c r="F54" i="19" s="1"/>
  <c r="M19" i="17"/>
  <c r="H50" i="19"/>
  <c r="H52" i="19" s="1"/>
  <c r="H53" i="19" s="1"/>
  <c r="O19" i="17"/>
  <c r="E87" i="19"/>
  <c r="G18" i="19"/>
  <c r="E28" i="19"/>
  <c r="E18" i="19"/>
  <c r="E19" i="19"/>
  <c r="Q10" i="25" l="1"/>
  <c r="N8" i="28" s="1"/>
  <c r="Q3" i="25"/>
  <c r="E10" i="30"/>
  <c r="Q6" i="25"/>
  <c r="N4" i="28" s="1"/>
  <c r="T6" i="25"/>
  <c r="R6" i="25"/>
  <c r="O4" i="28" s="1"/>
  <c r="S6" i="25"/>
  <c r="E19" i="30"/>
  <c r="E5" i="19"/>
  <c r="B8" i="23"/>
  <c r="E26" i="19"/>
  <c r="E11" i="19"/>
  <c r="E3" i="30" s="1"/>
  <c r="E12" i="19"/>
  <c r="E29" i="19"/>
  <c r="E30" i="19" s="1"/>
  <c r="G13" i="21" s="1"/>
  <c r="G14" i="21" s="1" a="1"/>
  <c r="G14" i="21" s="1"/>
  <c r="E2" i="19"/>
  <c r="L4" i="17" s="1"/>
  <c r="C5" i="25" l="1"/>
  <c r="C4" i="25"/>
  <c r="D4" i="25" s="1"/>
  <c r="C12" i="25"/>
  <c r="D12" i="25" s="1"/>
  <c r="C8" i="25"/>
  <c r="D8" i="25" s="1"/>
  <c r="C9" i="25"/>
  <c r="D9" i="25" s="1"/>
  <c r="C10" i="25"/>
  <c r="D10" i="25" s="1"/>
  <c r="C11" i="25"/>
  <c r="D11" i="25" s="1"/>
  <c r="C7" i="25"/>
  <c r="C6" i="25"/>
  <c r="E13" i="19"/>
  <c r="E5" i="30" s="1"/>
  <c r="E6" i="30"/>
  <c r="E3" i="19"/>
  <c r="E11" i="30"/>
  <c r="E4" i="30"/>
  <c r="G40" i="30"/>
  <c r="S8" i="25"/>
  <c r="E40" i="30"/>
  <c r="Q8" i="25"/>
  <c r="N6" i="28" s="1"/>
  <c r="F40" i="30"/>
  <c r="R8" i="25"/>
  <c r="O6" i="28" s="1"/>
  <c r="H54" i="19"/>
  <c r="H40" i="30" s="1"/>
  <c r="T8" i="25"/>
  <c r="L24" i="17"/>
  <c r="C8" i="23"/>
  <c r="E83" i="19" s="1"/>
  <c r="E84" i="19"/>
  <c r="E85" i="19" s="1"/>
  <c r="E6" i="19"/>
  <c r="E7" i="19" s="1"/>
  <c r="Q98" i="14"/>
  <c r="AC96" i="14" a="1"/>
  <c r="AC96" i="14" s="1"/>
  <c r="R96" i="14" a="1"/>
  <c r="R96" i="14" s="1"/>
  <c r="AD96" i="14" a="1"/>
  <c r="AD96" i="14" s="1"/>
  <c r="AF96" i="14" a="1"/>
  <c r="AF96" i="14" s="1"/>
  <c r="AF98" i="14" s="1"/>
  <c r="N96" i="14" a="1"/>
  <c r="N96" i="14" s="1"/>
  <c r="N98" i="14" s="1"/>
  <c r="T96" i="14" a="1"/>
  <c r="T96" i="14" s="1"/>
  <c r="U96" i="14" a="1"/>
  <c r="U96" i="14" s="1"/>
  <c r="I96" i="14" a="1"/>
  <c r="I96" i="14" s="1"/>
  <c r="I98" i="14" s="1"/>
  <c r="AI96" i="14" a="1"/>
  <c r="AI96" i="14" s="1"/>
  <c r="AI98" i="14" s="1"/>
  <c r="E96" i="14" a="1"/>
  <c r="E96" i="14" s="1"/>
  <c r="E98" i="14" s="1"/>
  <c r="AO96" i="14" a="1"/>
  <c r="AO96" i="14" s="1"/>
  <c r="S96" i="14" a="1"/>
  <c r="S96" i="14" s="1"/>
  <c r="O96" i="14" a="1"/>
  <c r="O96" i="14" s="1"/>
  <c r="O98" i="14" s="1"/>
  <c r="AP96" i="14" a="1"/>
  <c r="AP96" i="14" s="1"/>
  <c r="AH96" i="14" a="1"/>
  <c r="AH96" i="14" s="1"/>
  <c r="AH98" i="14" s="1"/>
  <c r="M96" i="14" a="1"/>
  <c r="M96" i="14" s="1"/>
  <c r="M98" i="14" s="1"/>
  <c r="AL96" i="14" a="1"/>
  <c r="AL96" i="14" s="1"/>
  <c r="AG96" i="14" a="1"/>
  <c r="AG96" i="14" s="1"/>
  <c r="AG98" i="14" s="1"/>
  <c r="AJ96" i="14" a="1"/>
  <c r="AJ96" i="14" s="1"/>
  <c r="AJ98" i="14" s="1"/>
  <c r="AM96" i="14" a="1"/>
  <c r="AM96" i="14" s="1"/>
  <c r="AN96" i="14" a="1"/>
  <c r="AN96" i="14" s="1"/>
  <c r="H96" i="14" a="1"/>
  <c r="H96" i="14" s="1"/>
  <c r="H98" i="14" s="1"/>
  <c r="D7" i="25" l="1"/>
  <c r="D6" i="25"/>
  <c r="D5" i="25"/>
  <c r="E7" i="30"/>
  <c r="E8" i="19"/>
  <c r="E14" i="19" s="1"/>
  <c r="E16" i="19" s="1"/>
  <c r="U98" i="14"/>
  <c r="X98" i="14"/>
  <c r="R98" i="14"/>
  <c r="B100" i="14" s="1"/>
  <c r="AN98" i="14"/>
  <c r="W98" i="14"/>
  <c r="S98" i="14"/>
  <c r="C100" i="14" s="1"/>
  <c r="AO98" i="14"/>
  <c r="T98" i="14"/>
  <c r="D100" i="14" s="1"/>
  <c r="AM98" i="14"/>
  <c r="AD98" i="14"/>
  <c r="AL98" i="14"/>
  <c r="AP98" i="14"/>
  <c r="AC98" i="14"/>
  <c r="E35" i="30"/>
  <c r="E23" i="30"/>
  <c r="E12" i="30"/>
  <c r="L6" i="17"/>
  <c r="L18" i="17"/>
  <c r="O18" i="17"/>
  <c r="N18" i="17"/>
  <c r="M18" i="17"/>
  <c r="L13" i="17"/>
  <c r="Q11" i="25"/>
  <c r="N9" i="28" s="1"/>
  <c r="L11" i="17"/>
  <c r="E9" i="30" l="1"/>
  <c r="L7" i="17"/>
  <c r="G20" i="19"/>
  <c r="G24" i="19" s="1"/>
  <c r="E20" i="19"/>
  <c r="E24" i="19" s="1"/>
  <c r="Q4" i="25" s="1"/>
  <c r="N3" i="28" s="1"/>
  <c r="E4" i="28" s="1"/>
  <c r="E10" i="19"/>
  <c r="E32" i="19"/>
  <c r="E33" i="19" s="1"/>
  <c r="E71" i="19"/>
  <c r="M100" i="14"/>
  <c r="G100" i="14"/>
  <c r="E70" i="19" s="1"/>
  <c r="E30" i="30" s="1"/>
  <c r="E67" i="19"/>
  <c r="E100" i="14"/>
  <c r="E68" i="19" s="1"/>
  <c r="N100" i="14"/>
  <c r="AF100" i="14"/>
  <c r="AJ100" i="14"/>
  <c r="H100" i="14"/>
  <c r="AG100" i="14"/>
  <c r="AH100" i="14"/>
  <c r="AI100" i="14"/>
  <c r="E8" i="30" l="1"/>
  <c r="L5" i="17"/>
  <c r="E75" i="19"/>
  <c r="E76" i="19" s="1"/>
  <c r="E34" i="19"/>
  <c r="E37" i="19" s="1"/>
  <c r="G34" i="19"/>
  <c r="G37" i="19" s="1"/>
  <c r="E38" i="19"/>
  <c r="L10" i="17"/>
  <c r="L7" i="27" s="1"/>
  <c r="E14" i="30"/>
  <c r="L4" i="27"/>
  <c r="E28" i="30"/>
  <c r="E27" i="30"/>
  <c r="E43" i="30"/>
  <c r="L12" i="17"/>
  <c r="L32" i="17"/>
  <c r="Q14" i="25"/>
  <c r="N11" i="28" s="1"/>
  <c r="L8" i="17" l="1"/>
  <c r="L5" i="27"/>
  <c r="E13" i="30"/>
  <c r="E26" i="30"/>
  <c r="G39" i="19"/>
  <c r="G15" i="30" s="1"/>
  <c r="E39" i="19"/>
  <c r="E15" i="30" s="1"/>
  <c r="L28" i="17"/>
  <c r="L8" i="27"/>
  <c r="AA3" i="26"/>
  <c r="Z3" i="26"/>
  <c r="L27" i="17"/>
  <c r="N9" i="17" l="1"/>
  <c r="N6" i="27" s="1"/>
  <c r="E31" i="28"/>
  <c r="E8" i="28"/>
  <c r="E9" i="28"/>
  <c r="E15" i="28"/>
  <c r="E13" i="28"/>
  <c r="E30" i="28"/>
  <c r="E6" i="28"/>
  <c r="E25" i="28"/>
  <c r="E7" i="28"/>
  <c r="E22" i="28"/>
  <c r="E14" i="28"/>
  <c r="E10" i="28"/>
  <c r="E28" i="28"/>
  <c r="E27" i="28"/>
  <c r="E18" i="28"/>
  <c r="E5" i="28"/>
  <c r="E19" i="28"/>
  <c r="E29" i="28"/>
  <c r="E16" i="28"/>
  <c r="E24" i="28"/>
  <c r="E21" i="28"/>
  <c r="E11" i="28"/>
  <c r="E23" i="28"/>
  <c r="E26" i="28"/>
  <c r="E17" i="28"/>
  <c r="E20" i="28"/>
  <c r="E12" i="28"/>
  <c r="E31" i="30"/>
  <c r="V5" i="14"/>
  <c r="V6" i="14"/>
  <c r="V7" i="14"/>
  <c r="V8" i="14"/>
  <c r="V9" i="14"/>
  <c r="V10" i="14"/>
  <c r="V11" i="14"/>
  <c r="V12" i="14"/>
  <c r="V13" i="14"/>
  <c r="V14" i="14"/>
  <c r="V15" i="14"/>
  <c r="V16" i="14"/>
  <c r="V17" i="14"/>
  <c r="V18" i="14"/>
  <c r="V19" i="14"/>
  <c r="V20" i="14"/>
  <c r="V21" i="14"/>
  <c r="V22" i="14"/>
  <c r="V23" i="14"/>
  <c r="V24" i="14"/>
  <c r="V25" i="14"/>
  <c r="V26" i="14"/>
  <c r="V27" i="14"/>
  <c r="V28" i="14"/>
  <c r="V29" i="14"/>
  <c r="V30" i="14"/>
  <c r="V31" i="14"/>
  <c r="V32" i="14"/>
  <c r="V33" i="14"/>
  <c r="V34" i="14"/>
  <c r="V35" i="14"/>
  <c r="V36" i="14"/>
  <c r="V37" i="14"/>
  <c r="V38" i="14"/>
  <c r="V39" i="14"/>
  <c r="V40" i="14"/>
  <c r="V41" i="14"/>
  <c r="V42" i="14"/>
  <c r="V43" i="14"/>
  <c r="V44" i="14"/>
  <c r="V45" i="14"/>
  <c r="V46" i="14"/>
  <c r="V47" i="14"/>
  <c r="V48" i="14"/>
  <c r="V49" i="14"/>
  <c r="V50" i="14"/>
  <c r="V51" i="14"/>
  <c r="V52" i="14"/>
  <c r="V53" i="14"/>
  <c r="V54" i="14"/>
  <c r="V55" i="14"/>
  <c r="V56" i="14"/>
  <c r="V57" i="14"/>
  <c r="V58" i="14"/>
  <c r="V59" i="14"/>
  <c r="V60" i="14"/>
  <c r="V61" i="14"/>
  <c r="V62" i="14"/>
  <c r="V63" i="14"/>
  <c r="V64" i="14"/>
  <c r="V96" i="14" s="1" a="1"/>
  <c r="V96" i="14" s="1"/>
  <c r="V98" i="14" s="1"/>
  <c r="F100" i="14" s="1"/>
  <c r="V4" i="14"/>
  <c r="AB5" i="14"/>
  <c r="AB6" i="14"/>
  <c r="AB7" i="14"/>
  <c r="AB8" i="14"/>
  <c r="AB9" i="14"/>
  <c r="AB10" i="14"/>
  <c r="AB11" i="14"/>
  <c r="AB12" i="14"/>
  <c r="AB13" i="14"/>
  <c r="AB14" i="14"/>
  <c r="AB15" i="14"/>
  <c r="AB16" i="14"/>
  <c r="AB17" i="14"/>
  <c r="AB18" i="14"/>
  <c r="AB19" i="14"/>
  <c r="AB20" i="14"/>
  <c r="AB21" i="14"/>
  <c r="AB22" i="14"/>
  <c r="AB23" i="14"/>
  <c r="AB24" i="14"/>
  <c r="AB25" i="14"/>
  <c r="AB26" i="14"/>
  <c r="AB27" i="14"/>
  <c r="AB28" i="14"/>
  <c r="AB29" i="14"/>
  <c r="AB30" i="14"/>
  <c r="AB31" i="14"/>
  <c r="AB32" i="14"/>
  <c r="AB33" i="14"/>
  <c r="AB34" i="14"/>
  <c r="AB35" i="14"/>
  <c r="AB36" i="14"/>
  <c r="AB37" i="14"/>
  <c r="AB38" i="14"/>
  <c r="AB39" i="14"/>
  <c r="AB40" i="14"/>
  <c r="AB41" i="14"/>
  <c r="AB42" i="14"/>
  <c r="AB43" i="14"/>
  <c r="AB44" i="14"/>
  <c r="AB45" i="14"/>
  <c r="AB46" i="14"/>
  <c r="AB47" i="14"/>
  <c r="AB48" i="14"/>
  <c r="AB49" i="14"/>
  <c r="AB50" i="14"/>
  <c r="AB51" i="14"/>
  <c r="AB52" i="14"/>
  <c r="AB53" i="14"/>
  <c r="AB54" i="14"/>
  <c r="AB55" i="14"/>
  <c r="AB56" i="14"/>
  <c r="AB57" i="14"/>
  <c r="AB58" i="14"/>
  <c r="AB59" i="14"/>
  <c r="AB60" i="14"/>
  <c r="AB61" i="14"/>
  <c r="AB62" i="14"/>
  <c r="AB63" i="14"/>
  <c r="AB64" i="14"/>
  <c r="AB96" i="14" s="1" a="1"/>
  <c r="AB96" i="14" s="1"/>
  <c r="AB98" i="14" s="1"/>
  <c r="AB4" i="14"/>
  <c r="AA5" i="14"/>
  <c r="AA6" i="14"/>
  <c r="AA7" i="14"/>
  <c r="AA8" i="14"/>
  <c r="AA9" i="14"/>
  <c r="AA10" i="14"/>
  <c r="AA11" i="14"/>
  <c r="AA12" i="14"/>
  <c r="AA13" i="14"/>
  <c r="AA14" i="14"/>
  <c r="AA15" i="14"/>
  <c r="AA16" i="14"/>
  <c r="AA17" i="14"/>
  <c r="AA18" i="14"/>
  <c r="AA19" i="14"/>
  <c r="AA20" i="14"/>
  <c r="AA21" i="14"/>
  <c r="AA22" i="14"/>
  <c r="AA23" i="14"/>
  <c r="AA24" i="14"/>
  <c r="AA25" i="14"/>
  <c r="AA26" i="14"/>
  <c r="AA27" i="14"/>
  <c r="AA28" i="14"/>
  <c r="AA29" i="14"/>
  <c r="AA30" i="14"/>
  <c r="AA31" i="14"/>
  <c r="AA32" i="14"/>
  <c r="AA33" i="14"/>
  <c r="AA34" i="14"/>
  <c r="AA35" i="14"/>
  <c r="AA36" i="14"/>
  <c r="AA37" i="14"/>
  <c r="AA38" i="14"/>
  <c r="AA39" i="14"/>
  <c r="AA40" i="14"/>
  <c r="AA41" i="14"/>
  <c r="AA42" i="14"/>
  <c r="AA43" i="14"/>
  <c r="AA44" i="14"/>
  <c r="AA45" i="14"/>
  <c r="AA46" i="14"/>
  <c r="AA47" i="14"/>
  <c r="AA48" i="14"/>
  <c r="AA49" i="14"/>
  <c r="AA50" i="14"/>
  <c r="AA51" i="14"/>
  <c r="AA52" i="14"/>
  <c r="AA53" i="14"/>
  <c r="AA54" i="14"/>
  <c r="AA55" i="14"/>
  <c r="AA56" i="14"/>
  <c r="AA57" i="14"/>
  <c r="AA58" i="14"/>
  <c r="AA59" i="14"/>
  <c r="AA60" i="14"/>
  <c r="AA61" i="14"/>
  <c r="AA62" i="14"/>
  <c r="AA63" i="14"/>
  <c r="AA64" i="14"/>
  <c r="AA96" i="14" s="1" a="1"/>
  <c r="AA96" i="14" s="1"/>
  <c r="AA98" i="14" s="1"/>
  <c r="AA4" i="14"/>
  <c r="Z5" i="14"/>
  <c r="Z6" i="14"/>
  <c r="Z7" i="14"/>
  <c r="Z8" i="14"/>
  <c r="Z9" i="14"/>
  <c r="Z10" i="14"/>
  <c r="Z11" i="14"/>
  <c r="Z12" i="14"/>
  <c r="Z13" i="14"/>
  <c r="Z14" i="14"/>
  <c r="Z15" i="14"/>
  <c r="Z16" i="14"/>
  <c r="Z17" i="14"/>
  <c r="Z18" i="14"/>
  <c r="Z19" i="14"/>
  <c r="Z20" i="14"/>
  <c r="Z21" i="14"/>
  <c r="Z22" i="14"/>
  <c r="Z23" i="14"/>
  <c r="Z24" i="14"/>
  <c r="Z25" i="14"/>
  <c r="Z26" i="14"/>
  <c r="Z27" i="14"/>
  <c r="Z28" i="14"/>
  <c r="Z29" i="14"/>
  <c r="Z30" i="14"/>
  <c r="Z31" i="14"/>
  <c r="Z32" i="14"/>
  <c r="Z33" i="14"/>
  <c r="Z34" i="14"/>
  <c r="Z35" i="14"/>
  <c r="Z36" i="14"/>
  <c r="Z37" i="14"/>
  <c r="Z38" i="14"/>
  <c r="Z39" i="14"/>
  <c r="Z40" i="14"/>
  <c r="Z41" i="14"/>
  <c r="Z42" i="14"/>
  <c r="Z43" i="14"/>
  <c r="Z44" i="14"/>
  <c r="Z45" i="14"/>
  <c r="Z46" i="14"/>
  <c r="Z47" i="14"/>
  <c r="Z48" i="14"/>
  <c r="Z49" i="14"/>
  <c r="Z50" i="14"/>
  <c r="Z51" i="14"/>
  <c r="Z52" i="14"/>
  <c r="Z53" i="14"/>
  <c r="Z54" i="14"/>
  <c r="Z55" i="14"/>
  <c r="Z56" i="14"/>
  <c r="Z57" i="14"/>
  <c r="Z58" i="14"/>
  <c r="Z59" i="14"/>
  <c r="Z60" i="14"/>
  <c r="Z61" i="14"/>
  <c r="Z62" i="14"/>
  <c r="Z63" i="14"/>
  <c r="Z64" i="14"/>
  <c r="Z96" i="14" s="1" a="1"/>
  <c r="Z96" i="14" s="1"/>
  <c r="Z98" i="14" s="1"/>
  <c r="Z4" i="14"/>
  <c r="Y5" i="14"/>
  <c r="Y6" i="14"/>
  <c r="Y7" i="14"/>
  <c r="Y8" i="14"/>
  <c r="Y9" i="14"/>
  <c r="Y10" i="14"/>
  <c r="Y11" i="14"/>
  <c r="Y12" i="14"/>
  <c r="Y13" i="14"/>
  <c r="Y14" i="14"/>
  <c r="Y15" i="14"/>
  <c r="Y16" i="14"/>
  <c r="Y17" i="14"/>
  <c r="Y18" i="14"/>
  <c r="Y19" i="14"/>
  <c r="Y20" i="14"/>
  <c r="Y21" i="14"/>
  <c r="Y22" i="14"/>
  <c r="Y23" i="14"/>
  <c r="Y24" i="14"/>
  <c r="Y25" i="14"/>
  <c r="Y26" i="14"/>
  <c r="Y27" i="14"/>
  <c r="Y28" i="14"/>
  <c r="Y29" i="14"/>
  <c r="Y30" i="14"/>
  <c r="Y31" i="14"/>
  <c r="Y32" i="14"/>
  <c r="Y33" i="14"/>
  <c r="Y34" i="14"/>
  <c r="Y35" i="14"/>
  <c r="Y36" i="14"/>
  <c r="Y37" i="14"/>
  <c r="Y38" i="14"/>
  <c r="Y39" i="14"/>
  <c r="Y40" i="14"/>
  <c r="Y41" i="14"/>
  <c r="Y42" i="14"/>
  <c r="Y43" i="14"/>
  <c r="Y44" i="14"/>
  <c r="Y45" i="14"/>
  <c r="Y46" i="14"/>
  <c r="Y47" i="14"/>
  <c r="Y48" i="14"/>
  <c r="Y49" i="14"/>
  <c r="Y50" i="14"/>
  <c r="Y51" i="14"/>
  <c r="Y52" i="14"/>
  <c r="Y53" i="14"/>
  <c r="Y54" i="14"/>
  <c r="Y55" i="14"/>
  <c r="Y56" i="14"/>
  <c r="Y57" i="14"/>
  <c r="Y58" i="14"/>
  <c r="Y59" i="14"/>
  <c r="Y60" i="14"/>
  <c r="Y61" i="14"/>
  <c r="Y62" i="14"/>
  <c r="Y63" i="14"/>
  <c r="Y64" i="14"/>
  <c r="Y96" i="14" s="1" a="1"/>
  <c r="Y96" i="14" s="1"/>
  <c r="Y98" i="14" s="1"/>
  <c r="Y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61" i="14"/>
  <c r="F62" i="14"/>
  <c r="F63" i="14"/>
  <c r="F4" i="14"/>
  <c r="L5" i="14"/>
  <c r="L6" i="14"/>
  <c r="L7" i="14"/>
  <c r="L8" i="14"/>
  <c r="L9" i="14"/>
  <c r="L10" i="14"/>
  <c r="L11" i="14"/>
  <c r="L12" i="14"/>
  <c r="L13" i="14"/>
  <c r="L14" i="14"/>
  <c r="L15" i="14"/>
  <c r="L16" i="14"/>
  <c r="L17" i="14"/>
  <c r="L18" i="14"/>
  <c r="L19" i="14"/>
  <c r="L20" i="14"/>
  <c r="L21" i="14"/>
  <c r="L22" i="14"/>
  <c r="L23" i="14"/>
  <c r="L24" i="14"/>
  <c r="L25" i="14"/>
  <c r="L26" i="14"/>
  <c r="L27" i="14"/>
  <c r="L28" i="14"/>
  <c r="L29" i="14"/>
  <c r="L30" i="14"/>
  <c r="L31" i="14"/>
  <c r="L32" i="14"/>
  <c r="L33" i="14"/>
  <c r="L34" i="14"/>
  <c r="L35" i="14"/>
  <c r="L36" i="14"/>
  <c r="L37" i="14"/>
  <c r="L38" i="14"/>
  <c r="L39" i="14"/>
  <c r="L40" i="14"/>
  <c r="L41" i="14"/>
  <c r="L42" i="14"/>
  <c r="L43" i="14"/>
  <c r="L44" i="14"/>
  <c r="L45" i="14"/>
  <c r="L46" i="14"/>
  <c r="L47" i="14"/>
  <c r="L48" i="14"/>
  <c r="L49" i="14"/>
  <c r="L50" i="14"/>
  <c r="L51" i="14"/>
  <c r="L52" i="14"/>
  <c r="L53" i="14"/>
  <c r="L54" i="14"/>
  <c r="L55" i="14"/>
  <c r="L56" i="14"/>
  <c r="L57" i="14"/>
  <c r="L58" i="14"/>
  <c r="L59" i="14"/>
  <c r="L60" i="14"/>
  <c r="L61" i="14"/>
  <c r="L62" i="14"/>
  <c r="L63" i="14"/>
  <c r="L64" i="14"/>
  <c r="L96" i="14" s="1" a="1"/>
  <c r="L96" i="14" s="1"/>
  <c r="L98" i="14" s="1"/>
  <c r="L4" i="14"/>
  <c r="K5" i="14"/>
  <c r="K6" i="14"/>
  <c r="K7" i="14"/>
  <c r="K8" i="14"/>
  <c r="K9" i="14"/>
  <c r="K10" i="14"/>
  <c r="K11" i="14"/>
  <c r="K12" i="14"/>
  <c r="K13" i="14"/>
  <c r="K14" i="14"/>
  <c r="K15" i="14"/>
  <c r="K16" i="14"/>
  <c r="K17" i="14"/>
  <c r="K18" i="14"/>
  <c r="K19" i="14"/>
  <c r="K20" i="14"/>
  <c r="K21" i="14"/>
  <c r="K22" i="14"/>
  <c r="K23" i="14"/>
  <c r="K24" i="14"/>
  <c r="K25" i="14"/>
  <c r="K26" i="14"/>
  <c r="K27" i="14"/>
  <c r="K28" i="14"/>
  <c r="K29" i="14"/>
  <c r="K30" i="14"/>
  <c r="K31" i="14"/>
  <c r="K32" i="14"/>
  <c r="K33" i="14"/>
  <c r="K34" i="14"/>
  <c r="K35" i="14"/>
  <c r="K36" i="14"/>
  <c r="K37" i="14"/>
  <c r="K38" i="14"/>
  <c r="K39" i="14"/>
  <c r="K40" i="14"/>
  <c r="K41" i="14"/>
  <c r="K42" i="14"/>
  <c r="K43" i="14"/>
  <c r="K44" i="14"/>
  <c r="K45" i="14"/>
  <c r="K46" i="14"/>
  <c r="K47" i="14"/>
  <c r="K48" i="14"/>
  <c r="K49" i="14"/>
  <c r="K50" i="14"/>
  <c r="K51" i="14"/>
  <c r="K52" i="14"/>
  <c r="K53" i="14"/>
  <c r="K54" i="14"/>
  <c r="K55" i="14"/>
  <c r="K56" i="14"/>
  <c r="K57" i="14"/>
  <c r="K58" i="14"/>
  <c r="K59" i="14"/>
  <c r="K60" i="14"/>
  <c r="K61" i="14"/>
  <c r="K62" i="14"/>
  <c r="K63" i="14"/>
  <c r="K64" i="14"/>
  <c r="K96" i="14" s="1" a="1"/>
  <c r="K96" i="14" s="1"/>
  <c r="K98" i="14" s="1"/>
  <c r="K4" i="14"/>
  <c r="J5" i="14"/>
  <c r="J6" i="14"/>
  <c r="J7" i="14"/>
  <c r="J8" i="14"/>
  <c r="J9" i="14"/>
  <c r="J10" i="14"/>
  <c r="J11" i="14"/>
  <c r="J12" i="14"/>
  <c r="J13" i="14"/>
  <c r="J14" i="14"/>
  <c r="J15" i="14"/>
  <c r="J16" i="14"/>
  <c r="J17" i="14"/>
  <c r="J18" i="14"/>
  <c r="J19" i="14"/>
  <c r="J20" i="14"/>
  <c r="J21" i="14"/>
  <c r="J22" i="14"/>
  <c r="J23" i="14"/>
  <c r="J24" i="14"/>
  <c r="J25" i="14"/>
  <c r="J26" i="14"/>
  <c r="J27" i="14"/>
  <c r="J28" i="14"/>
  <c r="J29" i="14"/>
  <c r="J30" i="14"/>
  <c r="J31" i="14"/>
  <c r="J32" i="14"/>
  <c r="J33" i="14"/>
  <c r="J34" i="14"/>
  <c r="J35" i="14"/>
  <c r="J36" i="14"/>
  <c r="J37" i="14"/>
  <c r="J38" i="14"/>
  <c r="J39" i="14"/>
  <c r="J40" i="14"/>
  <c r="J41" i="14"/>
  <c r="J42" i="14"/>
  <c r="J43" i="14"/>
  <c r="J44" i="14"/>
  <c r="J45" i="14"/>
  <c r="J46" i="14"/>
  <c r="J47" i="14"/>
  <c r="J48" i="14"/>
  <c r="J49" i="14"/>
  <c r="J50" i="14"/>
  <c r="J51" i="14"/>
  <c r="J52" i="14"/>
  <c r="J53" i="14"/>
  <c r="J54" i="14"/>
  <c r="J55" i="14"/>
  <c r="J56" i="14"/>
  <c r="J57" i="14"/>
  <c r="J58" i="14"/>
  <c r="J59" i="14"/>
  <c r="J60" i="14"/>
  <c r="J61" i="14"/>
  <c r="J62" i="14"/>
  <c r="J63" i="14"/>
  <c r="J64" i="14"/>
  <c r="J96" i="14" s="1" a="1"/>
  <c r="J96" i="14" s="1"/>
  <c r="J98" i="14" s="1"/>
  <c r="J4" i="14"/>
  <c r="I5" i="14"/>
  <c r="I6" i="14"/>
  <c r="I7" i="14"/>
  <c r="I8" i="14"/>
  <c r="I9" i="14"/>
  <c r="I10" i="14"/>
  <c r="I11" i="14"/>
  <c r="I12" i="14"/>
  <c r="I13" i="14"/>
  <c r="I14" i="14"/>
  <c r="I15" i="14"/>
  <c r="I16" i="14"/>
  <c r="I17" i="14"/>
  <c r="I18" i="14"/>
  <c r="I19" i="14"/>
  <c r="I20" i="14"/>
  <c r="I21" i="14"/>
  <c r="I22" i="14"/>
  <c r="I23" i="14"/>
  <c r="I24" i="14"/>
  <c r="I25" i="14"/>
  <c r="I26" i="14"/>
  <c r="I27" i="14"/>
  <c r="I28" i="14"/>
  <c r="I29" i="14"/>
  <c r="I30" i="14"/>
  <c r="I31" i="14"/>
  <c r="I32" i="14"/>
  <c r="I33" i="14"/>
  <c r="I34" i="14"/>
  <c r="I35" i="14"/>
  <c r="I36" i="14"/>
  <c r="I37" i="14"/>
  <c r="I38" i="14"/>
  <c r="I39" i="14"/>
  <c r="I40" i="14"/>
  <c r="I41" i="14"/>
  <c r="I42" i="14"/>
  <c r="I43" i="14"/>
  <c r="I44" i="14"/>
  <c r="I45" i="14"/>
  <c r="I46" i="14"/>
  <c r="I47" i="14"/>
  <c r="I48" i="14"/>
  <c r="I49" i="14"/>
  <c r="I50" i="14"/>
  <c r="I51" i="14"/>
  <c r="I52" i="14"/>
  <c r="I53" i="14"/>
  <c r="I54" i="14"/>
  <c r="I55" i="14"/>
  <c r="I56" i="14"/>
  <c r="I57" i="14"/>
  <c r="I58" i="14"/>
  <c r="I59" i="14"/>
  <c r="I60" i="14"/>
  <c r="I61" i="14"/>
  <c r="I62" i="14"/>
  <c r="I63" i="14"/>
  <c r="I4" i="14"/>
  <c r="S5" i="25" l="1"/>
  <c r="L100" i="14"/>
  <c r="K100" i="14"/>
  <c r="E69" i="19"/>
  <c r="E77" i="19" s="1"/>
  <c r="J100" i="14"/>
  <c r="I100" i="14"/>
  <c r="E29" i="30" l="1"/>
  <c r="E78" i="19"/>
  <c r="E79" i="19" s="1"/>
  <c r="E80" i="19" s="1"/>
  <c r="Q5" i="25"/>
  <c r="L9" i="17"/>
  <c r="L6" i="27" s="1"/>
  <c r="G80" i="19" l="1"/>
  <c r="G89" i="19" s="1"/>
  <c r="G93" i="19" s="1"/>
  <c r="E89" i="19"/>
  <c r="E93" i="19" s="1"/>
  <c r="E95" i="19" s="1"/>
  <c r="E32" i="30"/>
  <c r="L29" i="17"/>
  <c r="F96" i="19" l="1"/>
  <c r="F99" i="19" s="1"/>
  <c r="E96" i="19"/>
  <c r="E99" i="19" s="1"/>
  <c r="E101" i="19" s="1"/>
  <c r="E102" i="19" s="1"/>
  <c r="L30" i="17"/>
  <c r="E33" i="30"/>
  <c r="E105" i="19" l="1"/>
  <c r="E111" i="19"/>
  <c r="E34" i="30"/>
  <c r="L31" i="17"/>
  <c r="Q13" i="25"/>
  <c r="N10" i="28" s="1"/>
  <c r="G44" i="30" l="1"/>
  <c r="L33" i="17"/>
  <c r="Z4" i="26" s="1"/>
  <c r="E44" i="30"/>
  <c r="S12" i="25"/>
  <c r="N33" i="17"/>
  <c r="N9" i="27" s="1"/>
  <c r="Q12" i="25"/>
  <c r="N34" i="17" l="1"/>
  <c r="N10" i="27" s="1"/>
  <c r="AA4" i="26"/>
  <c r="G95" i="19"/>
  <c r="G45" i="30"/>
  <c r="L9" i="27"/>
  <c r="E45" i="30"/>
  <c r="L34" i="17"/>
  <c r="L10" i="27" s="1"/>
  <c r="S9" i="25" l="1"/>
  <c r="G96" i="19"/>
  <c r="G99" i="19" s="1"/>
  <c r="G101" i="19" s="1"/>
  <c r="H96" i="19"/>
  <c r="H99" i="19" s="1"/>
  <c r="G36" i="30"/>
  <c r="N14" i="17"/>
  <c r="E36" i="30"/>
  <c r="F101" i="19"/>
  <c r="L14" i="17"/>
  <c r="Z5" i="26"/>
  <c r="Q9" i="25"/>
  <c r="N7" i="28" s="1"/>
  <c r="AA5" i="26"/>
  <c r="O35" i="17" l="1"/>
  <c r="O11" i="27" s="1"/>
  <c r="H101" i="19"/>
  <c r="H46" i="30"/>
  <c r="G46" i="30"/>
  <c r="N35" i="17"/>
  <c r="N11" i="27" s="1"/>
  <c r="G37" i="30"/>
  <c r="M35" i="17"/>
  <c r="M11" i="27" s="1"/>
  <c r="E46" i="30"/>
  <c r="F37" i="30"/>
  <c r="L35" i="17"/>
  <c r="Z6" i="26" s="1"/>
  <c r="Q7" i="25"/>
  <c r="F46" i="30"/>
  <c r="R7" i="25"/>
  <c r="S7" i="25"/>
  <c r="F102" i="19"/>
  <c r="F111" i="19" s="1"/>
  <c r="M15" i="17"/>
  <c r="G102" i="19"/>
  <c r="G111" i="19" s="1"/>
  <c r="N15" i="17"/>
  <c r="E6" i="25" l="1"/>
  <c r="I6" i="25" s="1"/>
  <c r="E5" i="25"/>
  <c r="I5" i="25" s="1"/>
  <c r="E8" i="25"/>
  <c r="I8" i="25" s="1"/>
  <c r="E9" i="25"/>
  <c r="I9" i="25" s="1"/>
  <c r="E11" i="25"/>
  <c r="I11" i="25" s="1"/>
  <c r="E4" i="25"/>
  <c r="I4" i="25" s="1"/>
  <c r="E7" i="25"/>
  <c r="I7" i="25" s="1"/>
  <c r="E10" i="25"/>
  <c r="I10" i="25" s="1"/>
  <c r="E12" i="25"/>
  <c r="I12" i="25" s="1"/>
  <c r="G4" i="25"/>
  <c r="K4" i="25" s="1"/>
  <c r="G12" i="25"/>
  <c r="K12" i="25" s="1"/>
  <c r="G7" i="25"/>
  <c r="K7" i="25" s="1"/>
  <c r="G10" i="25"/>
  <c r="K10" i="25" s="1"/>
  <c r="G11" i="25"/>
  <c r="K11" i="25" s="1"/>
  <c r="G5" i="25"/>
  <c r="K5" i="25" s="1"/>
  <c r="G8" i="25"/>
  <c r="K8" i="25" s="1"/>
  <c r="G6" i="25"/>
  <c r="K6" i="25" s="1"/>
  <c r="G9" i="25"/>
  <c r="K9" i="25" s="1"/>
  <c r="F11" i="25"/>
  <c r="J11" i="25" s="1"/>
  <c r="F7" i="25"/>
  <c r="J7" i="25" s="1"/>
  <c r="F4" i="25"/>
  <c r="J4" i="25" s="1"/>
  <c r="F8" i="25"/>
  <c r="J8" i="25" s="1"/>
  <c r="F12" i="25"/>
  <c r="J12" i="25" s="1"/>
  <c r="F6" i="25"/>
  <c r="J6" i="25" s="1"/>
  <c r="F5" i="25"/>
  <c r="J5" i="25" s="1"/>
  <c r="F9" i="25"/>
  <c r="J9" i="25" s="1"/>
  <c r="F10" i="25"/>
  <c r="J10" i="25" s="1"/>
  <c r="F105" i="19"/>
  <c r="F42" i="30" s="1"/>
  <c r="O15" i="17"/>
  <c r="H37" i="30"/>
  <c r="T7" i="25"/>
  <c r="H102" i="19"/>
  <c r="H111" i="19" s="1"/>
  <c r="G47" i="30"/>
  <c r="AA6" i="26"/>
  <c r="L11" i="27"/>
  <c r="E37" i="30"/>
  <c r="L15" i="17"/>
  <c r="F47" i="30"/>
  <c r="N5" i="28"/>
  <c r="F4" i="28" s="1"/>
  <c r="H4" i="28" s="1"/>
  <c r="O5" i="28"/>
  <c r="G4" i="28" s="1"/>
  <c r="I4" i="28" s="1"/>
  <c r="N36" i="17"/>
  <c r="N12" i="27" s="1"/>
  <c r="G105" i="19"/>
  <c r="G42" i="30" s="1"/>
  <c r="M36" i="17"/>
  <c r="H5" i="25" l="1"/>
  <c r="L5" i="25" s="1"/>
  <c r="H10" i="25"/>
  <c r="L10" i="25" s="1"/>
  <c r="H4" i="25"/>
  <c r="L4" i="25" s="1"/>
  <c r="H7" i="25"/>
  <c r="L7" i="25" s="1"/>
  <c r="H12" i="25"/>
  <c r="L12" i="25" s="1"/>
  <c r="H9" i="25"/>
  <c r="L9" i="25" s="1"/>
  <c r="H6" i="25"/>
  <c r="L6" i="25" s="1"/>
  <c r="H11" i="25"/>
  <c r="L11" i="25" s="1"/>
  <c r="H8" i="25"/>
  <c r="L8" i="25" s="1"/>
  <c r="O36" i="17"/>
  <c r="O12" i="27" s="1"/>
  <c r="H105" i="19"/>
  <c r="H42" i="30" s="1"/>
  <c r="H47" i="30"/>
  <c r="E47" i="30"/>
  <c r="G7" i="28"/>
  <c r="I7" i="28" s="1"/>
  <c r="G6" i="28"/>
  <c r="I6" i="28" s="1"/>
  <c r="H49" i="30"/>
  <c r="G49" i="30"/>
  <c r="F49" i="30"/>
  <c r="E42" i="30"/>
  <c r="L36" i="17"/>
  <c r="Z7" i="26" s="1"/>
  <c r="M20" i="17"/>
  <c r="N20" i="17"/>
  <c r="M38" i="17"/>
  <c r="M13" i="27" s="1"/>
  <c r="O38" i="17"/>
  <c r="O13" i="27" s="1"/>
  <c r="G11" i="28"/>
  <c r="I11" i="28" s="1"/>
  <c r="G19" i="28"/>
  <c r="I19" i="28" s="1"/>
  <c r="G27" i="28"/>
  <c r="I27" i="28" s="1"/>
  <c r="G12" i="28"/>
  <c r="I12" i="28" s="1"/>
  <c r="G20" i="28"/>
  <c r="I20" i="28" s="1"/>
  <c r="G28" i="28"/>
  <c r="I28" i="28" s="1"/>
  <c r="G14" i="28"/>
  <c r="I14" i="28" s="1"/>
  <c r="G15" i="28"/>
  <c r="I15" i="28" s="1"/>
  <c r="G5" i="28"/>
  <c r="I5" i="28" s="1"/>
  <c r="G13" i="28"/>
  <c r="I13" i="28" s="1"/>
  <c r="G21" i="28"/>
  <c r="I21" i="28" s="1"/>
  <c r="G29" i="28"/>
  <c r="I29" i="28" s="1"/>
  <c r="G31" i="28"/>
  <c r="I31" i="28" s="1"/>
  <c r="G8" i="28"/>
  <c r="I8" i="28" s="1"/>
  <c r="G16" i="28"/>
  <c r="I16" i="28" s="1"/>
  <c r="G24" i="28"/>
  <c r="I24" i="28" s="1"/>
  <c r="G23" i="28"/>
  <c r="I23" i="28" s="1"/>
  <c r="G9" i="28"/>
  <c r="I9" i="28" s="1"/>
  <c r="G17" i="28"/>
  <c r="I17" i="28" s="1"/>
  <c r="G25" i="28"/>
  <c r="I25" i="28" s="1"/>
  <c r="G30" i="28"/>
  <c r="I30" i="28" s="1"/>
  <c r="G10" i="28"/>
  <c r="I10" i="28" s="1"/>
  <c r="G18" i="28"/>
  <c r="I18" i="28" s="1"/>
  <c r="G26" i="28"/>
  <c r="I26" i="28" s="1"/>
  <c r="G22" i="28"/>
  <c r="I22" i="28" s="1"/>
  <c r="F9" i="28"/>
  <c r="H9" i="28" s="1"/>
  <c r="F17" i="28"/>
  <c r="H17" i="28" s="1"/>
  <c r="F25" i="28"/>
  <c r="H25" i="28" s="1"/>
  <c r="F5" i="28"/>
  <c r="H5" i="28" s="1"/>
  <c r="F10" i="28"/>
  <c r="H10" i="28" s="1"/>
  <c r="F18" i="28"/>
  <c r="H18" i="28" s="1"/>
  <c r="F26" i="28"/>
  <c r="H26" i="28" s="1"/>
  <c r="F6" i="28"/>
  <c r="H6" i="28" s="1"/>
  <c r="F11" i="28"/>
  <c r="H11" i="28" s="1"/>
  <c r="F19" i="28"/>
  <c r="H19" i="28" s="1"/>
  <c r="F27" i="28"/>
  <c r="H27" i="28" s="1"/>
  <c r="F7" i="28"/>
  <c r="H7" i="28" s="1"/>
  <c r="F20" i="28"/>
  <c r="H20" i="28" s="1"/>
  <c r="F21" i="28"/>
  <c r="H21" i="28" s="1"/>
  <c r="F14" i="28"/>
  <c r="H14" i="28" s="1"/>
  <c r="F22" i="28"/>
  <c r="H22" i="28" s="1"/>
  <c r="F30" i="28"/>
  <c r="H30" i="28" s="1"/>
  <c r="F12" i="28"/>
  <c r="H12" i="28" s="1"/>
  <c r="F29" i="28"/>
  <c r="H29" i="28" s="1"/>
  <c r="F15" i="28"/>
  <c r="H15" i="28" s="1"/>
  <c r="F23" i="28"/>
  <c r="H23" i="28" s="1"/>
  <c r="F31" i="28"/>
  <c r="H31" i="28" s="1"/>
  <c r="F13" i="28"/>
  <c r="H13" i="28" s="1"/>
  <c r="F8" i="28"/>
  <c r="H8" i="28" s="1"/>
  <c r="F16" i="28"/>
  <c r="H16" i="28" s="1"/>
  <c r="F24" i="28"/>
  <c r="H24" i="28" s="1"/>
  <c r="F28" i="28"/>
  <c r="H28" i="28" s="1"/>
  <c r="M12" i="27"/>
  <c r="AA7" i="26"/>
  <c r="N38" i="17"/>
  <c r="N13" i="27" s="1"/>
  <c r="O20" i="17" l="1"/>
  <c r="L12" i="27"/>
  <c r="L38" i="17"/>
  <c r="L13" i="27" s="1"/>
  <c r="E49" i="30"/>
  <c r="L20" i="17"/>
  <c r="D32" i="28"/>
  <c r="E32" i="28" s="1"/>
  <c r="F32" i="28" l="1"/>
  <c r="H32" i="28" s="1"/>
  <c r="G32" i="28"/>
  <c r="I32" i="28" s="1"/>
  <c r="D41" i="28"/>
  <c r="E41" i="28" s="1"/>
  <c r="D58" i="28"/>
  <c r="E58" i="28" s="1"/>
  <c r="D62" i="28"/>
  <c r="E62" i="28" s="1"/>
  <c r="G62" i="28" s="1"/>
  <c r="I62" i="28" s="1"/>
  <c r="D89" i="28"/>
  <c r="E89" i="28" s="1"/>
  <c r="D42" i="28"/>
  <c r="E42" i="28" s="1"/>
  <c r="D45" i="28"/>
  <c r="E45" i="28" s="1"/>
  <c r="D84" i="28"/>
  <c r="E84" i="28" s="1"/>
  <c r="D78" i="28"/>
  <c r="E78" i="28" s="1"/>
  <c r="D97" i="28"/>
  <c r="E97" i="28" s="1"/>
  <c r="G97" i="28" s="1"/>
  <c r="I97" i="28" s="1"/>
  <c r="D43" i="28"/>
  <c r="E43" i="28" s="1"/>
  <c r="D50" i="28"/>
  <c r="E50" i="28" s="1"/>
  <c r="D63" i="28"/>
  <c r="E63" i="28" s="1"/>
  <c r="D81" i="28"/>
  <c r="E81" i="28" s="1"/>
  <c r="D39" i="28"/>
  <c r="E39" i="28" s="1"/>
  <c r="F39" i="28" s="1"/>
  <c r="H39" i="28" s="1"/>
  <c r="D87" i="28"/>
  <c r="E87" i="28" s="1"/>
  <c r="G87" i="28" s="1"/>
  <c r="I87" i="28" s="1"/>
  <c r="E27" i="19"/>
  <c r="D47" i="28"/>
  <c r="E47" i="28" s="1"/>
  <c r="D64" i="28"/>
  <c r="E64" i="28" s="1"/>
  <c r="D51" i="28"/>
  <c r="E51" i="28" s="1"/>
  <c r="G51" i="28" s="1"/>
  <c r="I51" i="28" s="1"/>
  <c r="D52" i="28"/>
  <c r="E52" i="28" s="1"/>
  <c r="G52" i="28" s="1"/>
  <c r="I52" i="28" s="1"/>
  <c r="D75" i="28"/>
  <c r="E75" i="28" s="1"/>
  <c r="D61" i="28"/>
  <c r="E61" i="28" s="1"/>
  <c r="F61" i="28" s="1"/>
  <c r="H61" i="28" s="1"/>
  <c r="D59" i="28"/>
  <c r="E59" i="28" s="1"/>
  <c r="D53" i="28"/>
  <c r="E53" i="28" s="1"/>
  <c r="D49" i="28"/>
  <c r="E49" i="28" s="1"/>
  <c r="D85" i="28"/>
  <c r="E85" i="28" s="1"/>
  <c r="D92" i="28"/>
  <c r="E92" i="28" s="1"/>
  <c r="F92" i="28" s="1"/>
  <c r="H92" i="28" s="1"/>
  <c r="D54" i="28"/>
  <c r="E54" i="28" s="1"/>
  <c r="F54" i="28" s="1"/>
  <c r="H54" i="28" s="1"/>
  <c r="D36" i="28"/>
  <c r="E36" i="28" s="1"/>
  <c r="D82" i="28"/>
  <c r="E82" i="28" s="1"/>
  <c r="G82" i="28" s="1"/>
  <c r="I82" i="28" s="1"/>
  <c r="D100" i="28"/>
  <c r="E100" i="28" s="1"/>
  <c r="D60" i="28"/>
  <c r="E60" i="28" s="1"/>
  <c r="G60" i="28" s="1"/>
  <c r="I60" i="28" s="1"/>
  <c r="D56" i="28"/>
  <c r="E56" i="28" s="1"/>
  <c r="D76" i="28"/>
  <c r="E76" i="28" s="1"/>
  <c r="G76" i="28" s="1"/>
  <c r="I76" i="28" s="1"/>
  <c r="D38" i="28"/>
  <c r="E38" i="28" s="1"/>
  <c r="D104" i="28"/>
  <c r="E104" i="28" s="1"/>
  <c r="D65" i="28"/>
  <c r="E65" i="28" s="1"/>
  <c r="D80" i="28"/>
  <c r="E80" i="28" s="1"/>
  <c r="F80" i="28" s="1"/>
  <c r="H80" i="28" s="1"/>
  <c r="D48" i="28"/>
  <c r="E48" i="28" s="1"/>
  <c r="D99" i="28"/>
  <c r="E99" i="28" s="1"/>
  <c r="D83" i="28"/>
  <c r="E83" i="28" s="1"/>
  <c r="F83" i="28" s="1"/>
  <c r="H83" i="28" s="1"/>
  <c r="D70" i="28"/>
  <c r="E70" i="28" s="1"/>
  <c r="G70" i="28" s="1"/>
  <c r="I70" i="28" s="1"/>
  <c r="D35" i="28"/>
  <c r="E35" i="28" s="1"/>
  <c r="F35" i="28" s="1"/>
  <c r="H35" i="28" s="1"/>
  <c r="D86" i="28"/>
  <c r="E86" i="28" s="1"/>
  <c r="G86" i="28" s="1"/>
  <c r="I86" i="28" s="1"/>
  <c r="D72" i="28"/>
  <c r="E72" i="28" s="1"/>
  <c r="D57" i="28"/>
  <c r="E57" i="28" s="1"/>
  <c r="G57" i="28" s="1"/>
  <c r="I57" i="28" s="1"/>
  <c r="D68" i="28"/>
  <c r="E68" i="28" s="1"/>
  <c r="D96" i="28"/>
  <c r="E96" i="28" s="1"/>
  <c r="G96" i="28" s="1"/>
  <c r="I96" i="28" s="1"/>
  <c r="D98" i="28"/>
  <c r="E98" i="28" s="1"/>
  <c r="D55" i="28"/>
  <c r="E55" i="28" s="1"/>
  <c r="G55" i="28" s="1"/>
  <c r="I55" i="28" s="1"/>
  <c r="D34" i="28"/>
  <c r="E34" i="28" s="1"/>
  <c r="D67" i="28"/>
  <c r="E67" i="28" s="1"/>
  <c r="F67" i="28" s="1"/>
  <c r="H67" i="28" s="1"/>
  <c r="D73" i="28"/>
  <c r="E73" i="28" s="1"/>
  <c r="D74" i="28"/>
  <c r="E74" i="28" s="1"/>
  <c r="D44" i="28"/>
  <c r="E44" i="28" s="1"/>
  <c r="D93" i="28"/>
  <c r="E93" i="28" s="1"/>
  <c r="D46" i="28"/>
  <c r="E46" i="28" s="1"/>
  <c r="F46" i="28" s="1"/>
  <c r="H46" i="28" s="1"/>
  <c r="D37" i="28"/>
  <c r="E37" i="28" s="1"/>
  <c r="F37" i="28" s="1"/>
  <c r="H37" i="28" s="1"/>
  <c r="D103" i="28"/>
  <c r="E103" i="28" s="1"/>
  <c r="D77" i="28"/>
  <c r="E77" i="28" s="1"/>
  <c r="G77" i="28" s="1"/>
  <c r="I77" i="28" s="1"/>
  <c r="D40" i="28"/>
  <c r="E40" i="28" s="1"/>
  <c r="D79" i="28"/>
  <c r="E79" i="28" s="1"/>
  <c r="F79" i="28" s="1"/>
  <c r="H79" i="28" s="1"/>
  <c r="D71" i="28"/>
  <c r="E71" i="28" s="1"/>
  <c r="D33" i="28"/>
  <c r="E33" i="28" s="1"/>
  <c r="D101" i="28"/>
  <c r="E101" i="28" s="1"/>
  <c r="F101" i="28" s="1"/>
  <c r="H101" i="28" s="1"/>
  <c r="D91" i="28"/>
  <c r="E91" i="28" s="1"/>
  <c r="D90" i="28"/>
  <c r="E90" i="28" s="1"/>
  <c r="G90" i="28" s="1"/>
  <c r="I90" i="28" s="1"/>
  <c r="D95" i="28"/>
  <c r="E95" i="28" s="1"/>
  <c r="G95" i="28" s="1"/>
  <c r="I95" i="28" s="1"/>
  <c r="D88" i="28"/>
  <c r="E88" i="28" s="1"/>
  <c r="G88" i="28" s="1"/>
  <c r="I88" i="28" s="1"/>
  <c r="D102" i="28"/>
  <c r="E102" i="28" s="1"/>
  <c r="F102" i="28" s="1"/>
  <c r="H102" i="28" s="1"/>
  <c r="D69" i="28"/>
  <c r="E69" i="28" s="1"/>
  <c r="D66" i="28"/>
  <c r="E66" i="28" s="1"/>
  <c r="G66" i="28" s="1"/>
  <c r="I66" i="28" s="1"/>
  <c r="D94" i="28"/>
  <c r="E94" i="28" s="1"/>
  <c r="F62" i="28" l="1"/>
  <c r="H62" i="28" s="1"/>
  <c r="F64" i="28"/>
  <c r="H64" i="28" s="1"/>
  <c r="G64" i="28"/>
  <c r="I64" i="28" s="1"/>
  <c r="F76" i="28"/>
  <c r="H76" i="28" s="1"/>
  <c r="G79" i="28"/>
  <c r="I79" i="28" s="1"/>
  <c r="G44" i="28"/>
  <c r="I44" i="28" s="1"/>
  <c r="F44" i="28"/>
  <c r="H44" i="28" s="1"/>
  <c r="F49" i="28"/>
  <c r="H49" i="28" s="1"/>
  <c r="G49" i="28"/>
  <c r="I49" i="28" s="1"/>
  <c r="G69" i="28"/>
  <c r="I69" i="28" s="1"/>
  <c r="F69" i="28"/>
  <c r="H69" i="28" s="1"/>
  <c r="F41" i="28"/>
  <c r="H41" i="28" s="1"/>
  <c r="G41" i="28"/>
  <c r="I41" i="28" s="1"/>
  <c r="F47" i="28"/>
  <c r="H47" i="28" s="1"/>
  <c r="G47" i="28"/>
  <c r="I47" i="28" s="1"/>
  <c r="G50" i="28"/>
  <c r="I50" i="28" s="1"/>
  <c r="F50" i="28"/>
  <c r="H50" i="28" s="1"/>
  <c r="G102" i="28"/>
  <c r="I102" i="28" s="1"/>
  <c r="F86" i="28"/>
  <c r="H86" i="28" s="1"/>
  <c r="G83" i="28"/>
  <c r="I83" i="28" s="1"/>
  <c r="F96" i="28"/>
  <c r="H96" i="28" s="1"/>
  <c r="F66" i="28"/>
  <c r="H66" i="28" s="1"/>
  <c r="F87" i="28"/>
  <c r="H87" i="28" s="1"/>
  <c r="F104" i="28"/>
  <c r="H104" i="28" s="1"/>
  <c r="G104" i="28"/>
  <c r="I104" i="28" s="1"/>
  <c r="G89" i="28"/>
  <c r="I89" i="28" s="1"/>
  <c r="F89" i="28"/>
  <c r="H89" i="28" s="1"/>
  <c r="F91" i="28"/>
  <c r="H91" i="28" s="1"/>
  <c r="G91" i="28"/>
  <c r="I91" i="28" s="1"/>
  <c r="F43" i="28"/>
  <c r="H43" i="28" s="1"/>
  <c r="G43" i="28"/>
  <c r="I43" i="28" s="1"/>
  <c r="F65" i="28"/>
  <c r="H65" i="28" s="1"/>
  <c r="G65" i="28"/>
  <c r="I65" i="28" s="1"/>
  <c r="F85" i="28"/>
  <c r="H85" i="28" s="1"/>
  <c r="G85" i="28"/>
  <c r="I85" i="28" s="1"/>
  <c r="G75" i="28"/>
  <c r="I75" i="28" s="1"/>
  <c r="F75" i="28"/>
  <c r="H75" i="28" s="1"/>
  <c r="F33" i="28"/>
  <c r="H33" i="28" s="1"/>
  <c r="G33" i="28"/>
  <c r="I33" i="28" s="1"/>
  <c r="G98" i="28"/>
  <c r="I98" i="28" s="1"/>
  <c r="F98" i="28"/>
  <c r="H98" i="28" s="1"/>
  <c r="G38" i="28"/>
  <c r="I38" i="28" s="1"/>
  <c r="F38" i="28"/>
  <c r="H38" i="28" s="1"/>
  <c r="G81" i="28"/>
  <c r="I81" i="28" s="1"/>
  <c r="F81" i="28"/>
  <c r="H81" i="28" s="1"/>
  <c r="F78" i="28"/>
  <c r="H78" i="28" s="1"/>
  <c r="G78" i="28"/>
  <c r="I78" i="28" s="1"/>
  <c r="F58" i="28"/>
  <c r="H58" i="28" s="1"/>
  <c r="G58" i="28"/>
  <c r="I58" i="28" s="1"/>
  <c r="F95" i="28"/>
  <c r="H95" i="28" s="1"/>
  <c r="G71" i="28"/>
  <c r="I71" i="28" s="1"/>
  <c r="F71" i="28"/>
  <c r="H71" i="28" s="1"/>
  <c r="F103" i="28"/>
  <c r="H103" i="28" s="1"/>
  <c r="G103" i="28"/>
  <c r="I103" i="28" s="1"/>
  <c r="G74" i="28"/>
  <c r="I74" i="28" s="1"/>
  <c r="F74" i="28"/>
  <c r="H74" i="28" s="1"/>
  <c r="G36" i="28"/>
  <c r="I36" i="28" s="1"/>
  <c r="F36" i="28"/>
  <c r="H36" i="28" s="1"/>
  <c r="G63" i="28"/>
  <c r="I63" i="28" s="1"/>
  <c r="F63" i="28"/>
  <c r="H63" i="28" s="1"/>
  <c r="G84" i="28"/>
  <c r="I84" i="28" s="1"/>
  <c r="F84" i="28"/>
  <c r="H84" i="28" s="1"/>
  <c r="F34" i="28"/>
  <c r="H34" i="28" s="1"/>
  <c r="G34" i="28"/>
  <c r="I34" i="28" s="1"/>
  <c r="F94" i="28"/>
  <c r="H94" i="28" s="1"/>
  <c r="G94" i="28"/>
  <c r="I94" i="28" s="1"/>
  <c r="G40" i="28"/>
  <c r="I40" i="28" s="1"/>
  <c r="F40" i="28"/>
  <c r="H40" i="28" s="1"/>
  <c r="F72" i="28"/>
  <c r="H72" i="28" s="1"/>
  <c r="G72" i="28"/>
  <c r="I72" i="28" s="1"/>
  <c r="F100" i="28"/>
  <c r="H100" i="28" s="1"/>
  <c r="G100" i="28"/>
  <c r="I100" i="28" s="1"/>
  <c r="F99" i="28"/>
  <c r="H99" i="28" s="1"/>
  <c r="G99" i="28"/>
  <c r="I99" i="28" s="1"/>
  <c r="G53" i="28"/>
  <c r="I53" i="28" s="1"/>
  <c r="F53" i="28"/>
  <c r="H53" i="28" s="1"/>
  <c r="F45" i="28"/>
  <c r="H45" i="28" s="1"/>
  <c r="G45" i="28"/>
  <c r="I45" i="28" s="1"/>
  <c r="F93" i="28"/>
  <c r="H93" i="28" s="1"/>
  <c r="G93" i="28"/>
  <c r="I93" i="28" s="1"/>
  <c r="F73" i="28"/>
  <c r="H73" i="28" s="1"/>
  <c r="G73" i="28"/>
  <c r="I73" i="28" s="1"/>
  <c r="F68" i="28"/>
  <c r="H68" i="28" s="1"/>
  <c r="G68" i="28"/>
  <c r="I68" i="28" s="1"/>
  <c r="F48" i="28"/>
  <c r="H48" i="28" s="1"/>
  <c r="G48" i="28"/>
  <c r="I48" i="28" s="1"/>
  <c r="G56" i="28"/>
  <c r="I56" i="28" s="1"/>
  <c r="F56" i="28"/>
  <c r="H56" i="28" s="1"/>
  <c r="G59" i="28"/>
  <c r="I59" i="28" s="1"/>
  <c r="F59" i="28"/>
  <c r="H59" i="28" s="1"/>
  <c r="G42" i="28"/>
  <c r="I42" i="28" s="1"/>
  <c r="F42" i="28"/>
  <c r="H42" i="28" s="1"/>
  <c r="G67" i="28"/>
  <c r="I67" i="28" s="1"/>
  <c r="F55" i="28"/>
  <c r="H55" i="28" s="1"/>
  <c r="F57" i="28"/>
  <c r="H57" i="28" s="1"/>
  <c r="F88" i="28"/>
  <c r="H88" i="28" s="1"/>
  <c r="F60" i="28"/>
  <c r="H60" i="28" s="1"/>
  <c r="F82" i="28"/>
  <c r="H82" i="28" s="1"/>
  <c r="G61" i="28"/>
  <c r="I61" i="28" s="1"/>
  <c r="F52" i="28"/>
  <c r="H52" i="28" s="1"/>
  <c r="F97" i="28"/>
  <c r="H97" i="28" s="1"/>
  <c r="G80" i="28"/>
  <c r="I80" i="28" s="1"/>
  <c r="G35" i="28"/>
  <c r="I35" i="28" s="1"/>
  <c r="F90" i="28"/>
  <c r="H90" i="28" s="1"/>
  <c r="G101" i="28"/>
  <c r="I101" i="28" s="1"/>
  <c r="F77" i="28"/>
  <c r="H77" i="28" s="1"/>
  <c r="G37" i="28"/>
  <c r="I37" i="28" s="1"/>
  <c r="G54" i="28"/>
  <c r="I54" i="28" s="1"/>
  <c r="G39" i="28"/>
  <c r="I39" i="28" s="1"/>
  <c r="F70" i="28"/>
  <c r="H70" i="28" s="1"/>
  <c r="F51" i="28"/>
  <c r="H51" i="28" s="1"/>
  <c r="G92" i="28"/>
  <c r="I92" i="28" s="1"/>
  <c r="G46" i="28"/>
  <c r="I46" i="28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<sst xmlns="http://schemas.openxmlformats.org/spreadsheetml/2006/main" count="965" uniqueCount="390">
  <si>
    <t>Term</t>
  </si>
  <si>
    <t>Unit</t>
  </si>
  <si>
    <t>Heat flux</t>
  </si>
  <si>
    <t>Internal Energy (kJ/kg)</t>
  </si>
  <si>
    <t>Enthalpy (kJ/kg)</t>
  </si>
  <si>
    <t>Entropy (J/g*K)</t>
  </si>
  <si>
    <t>Cv (J/g*K)</t>
  </si>
  <si>
    <t>Cp (J/g*K)</t>
  </si>
  <si>
    <t>Higher heating value</t>
  </si>
  <si>
    <t>Heat input</t>
  </si>
  <si>
    <t>P</t>
  </si>
  <si>
    <t>Water liquid-%</t>
  </si>
  <si>
    <t>Heat flux true</t>
  </si>
  <si>
    <t>Thermal conductivity deposits</t>
  </si>
  <si>
    <t>or</t>
  </si>
  <si>
    <t>Tertiary air port</t>
  </si>
  <si>
    <t>Black liquor guns</t>
  </si>
  <si>
    <t>Top secondary air ports</t>
  </si>
  <si>
    <t>Bottom secondary air ports</t>
  </si>
  <si>
    <t>Primary air ports</t>
  </si>
  <si>
    <t>Tube outside diameter</t>
  </si>
  <si>
    <t>Thermal conductivity carbon steel</t>
  </si>
  <si>
    <t>Inputs</t>
  </si>
  <si>
    <t>Results</t>
  </si>
  <si>
    <t>Sanicro® 67 for black liquor recovery boilers — Alleima</t>
  </si>
  <si>
    <t>Optional inputs</t>
  </si>
  <si>
    <t>Alleima® 3R12 — Alleima</t>
  </si>
  <si>
    <t>Average</t>
  </si>
  <si>
    <t>Location</t>
  </si>
  <si>
    <t>Relative location percentage</t>
  </si>
  <si>
    <t>Higher heating value input</t>
  </si>
  <si>
    <t>Higher heating value true</t>
  </si>
  <si>
    <t>Heat flux input</t>
  </si>
  <si>
    <t>Tube outside diameter true</t>
  </si>
  <si>
    <t>Water liquid-% true</t>
  </si>
  <si>
    <t>Thermal conductivity deposits choice</t>
  </si>
  <si>
    <t>Thermal conductivity deposits input</t>
  </si>
  <si>
    <t>Thermal conductivity deposits true</t>
  </si>
  <si>
    <t>Thermal conductivity carbon steel input</t>
  </si>
  <si>
    <t>Multiplier</t>
  </si>
  <si>
    <t>Furnace width</t>
  </si>
  <si>
    <t>Furnace depth</t>
  </si>
  <si>
    <t>Iron oxides (3,0 W/mK)</t>
  </si>
  <si>
    <t>Iron and other impurities (0,3 W/mK)</t>
  </si>
  <si>
    <t>https://webbook,nist,gov/cgi/fluid,cgi?PLow=60&amp;PHigh=120&amp;PInc=1&amp;Digits=5&amp;ID=C7732185&amp;Action=Load&amp;Type=SatT&amp;TUnit=C&amp;PUnit=bar&amp;DUnit=kg%2Fm3&amp;HUnit=kJ%2Fkg&amp;WUnit=m%2Fs&amp;VisUnit=Pa*s&amp;STUnit=N%2Fm&amp;RefState=DEF</t>
  </si>
  <si>
    <t>Deposit type</t>
  </si>
  <si>
    <t>Symbol</t>
  </si>
  <si>
    <t>Total wall thickness</t>
  </si>
  <si>
    <t>ṁDS</t>
  </si>
  <si>
    <t>Value</t>
  </si>
  <si>
    <t>Total wall thickness true</t>
  </si>
  <si>
    <t>Heat flux multiplier input</t>
  </si>
  <si>
    <t>Heat flux multiplier true</t>
  </si>
  <si>
    <t>Floor area</t>
  </si>
  <si>
    <t>Tube outside diameter input</t>
  </si>
  <si>
    <t>Total wall thickness input</t>
  </si>
  <si>
    <t>Tube inside area</t>
  </si>
  <si>
    <t>Water vapor-% true</t>
  </si>
  <si>
    <t>Re</t>
  </si>
  <si>
    <t>Pr</t>
  </si>
  <si>
    <t>Nu</t>
  </si>
  <si>
    <t>h</t>
  </si>
  <si>
    <t>Reynolds number</t>
  </si>
  <si>
    <t>Prandtl number</t>
  </si>
  <si>
    <t>Nusselt number</t>
  </si>
  <si>
    <t>Heat transfer coefficient</t>
  </si>
  <si>
    <t>Higher heating value choice</t>
  </si>
  <si>
    <t>Heat flux multiplier choice</t>
  </si>
  <si>
    <t>Density water liquid 100%</t>
  </si>
  <si>
    <t>Mass flow water liquid 100%</t>
  </si>
  <si>
    <t>Thermal conductivity carbon steel true</t>
  </si>
  <si>
    <t>x_w</t>
  </si>
  <si>
    <t>Heat flux multiplier</t>
  </si>
  <si>
    <t>Tube inside diameter</t>
  </si>
  <si>
    <t>Thermal conductivity cladding</t>
  </si>
  <si>
    <t>Thermal conductivity smelt</t>
  </si>
  <si>
    <t>Temperature deposit surface facing water</t>
  </si>
  <si>
    <t>Deposit-carbon steel interface</t>
  </si>
  <si>
    <t>Temperature cladding surface facing furnace</t>
  </si>
  <si>
    <t>Water</t>
  </si>
  <si>
    <t>Deposit surface facing water</t>
  </si>
  <si>
    <t>Carbon-steel cladding interface</t>
  </si>
  <si>
    <t>Cladding surface facing furnace</t>
  </si>
  <si>
    <t>Smalt surface facing furnace</t>
  </si>
  <si>
    <t>Floor loading</t>
  </si>
  <si>
    <t>Equation parameter heat flux a</t>
  </si>
  <si>
    <t>Equation parameter heat flux b</t>
  </si>
  <si>
    <t>Heat flux calculated</t>
  </si>
  <si>
    <t>Heat flux input conversion</t>
  </si>
  <si>
    <t>Heat flux true conversion</t>
  </si>
  <si>
    <t>Tube outside diameter input conversion</t>
  </si>
  <si>
    <t>Tube outside diameter standard</t>
  </si>
  <si>
    <t>Heat flux function</t>
  </si>
  <si>
    <t>Total wall thickness input conversion</t>
  </si>
  <si>
    <t>Total wall thickness standard</t>
  </si>
  <si>
    <t>Cladding thickness input</t>
  </si>
  <si>
    <t>Cladding thickness input conversion</t>
  </si>
  <si>
    <t>Cladding thickness standard</t>
  </si>
  <si>
    <t>Cladding thickness true</t>
  </si>
  <si>
    <t>Cladding thickness 304</t>
  </si>
  <si>
    <t>Carbon steel thickness true</t>
  </si>
  <si>
    <t>Carbon steel thickness</t>
  </si>
  <si>
    <t>Average deposit thickness input</t>
  </si>
  <si>
    <t>Average deposit thickness true</t>
  </si>
  <si>
    <t>Average deposit thickness</t>
  </si>
  <si>
    <t>Thermal conductivity carbon steel function</t>
  </si>
  <si>
    <t>Thermal conductivity cladding function</t>
  </si>
  <si>
    <t>Thermal conductivity cladding input</t>
  </si>
  <si>
    <t>Thermal conductivity cladding true</t>
  </si>
  <si>
    <t>Thermal conductivity smelt standard</t>
  </si>
  <si>
    <t>Temperature smelt surface facing furnace</t>
  </si>
  <si>
    <t>Carbon steel thickness conversion</t>
  </si>
  <si>
    <t>Cladding thickness</t>
  </si>
  <si>
    <t>Water vapor-%</t>
  </si>
  <si>
    <r>
      <t>l</t>
    </r>
    <r>
      <rPr>
        <vertAlign val="subscript"/>
        <sz val="11"/>
        <color theme="1"/>
        <rFont val="Calibri"/>
        <family val="2"/>
        <scheme val="minor"/>
      </rPr>
      <t>h</t>
    </r>
  </si>
  <si>
    <r>
      <t>A</t>
    </r>
    <r>
      <rPr>
        <vertAlign val="subscript"/>
        <sz val="11"/>
        <color theme="1"/>
        <rFont val="Calibri"/>
        <family val="2"/>
        <scheme val="minor"/>
      </rPr>
      <t>f</t>
    </r>
  </si>
  <si>
    <r>
      <t>l</t>
    </r>
    <r>
      <rPr>
        <vertAlign val="subscript"/>
        <sz val="11"/>
        <color theme="1"/>
        <rFont val="Calibri"/>
        <family val="2"/>
        <scheme val="minor"/>
      </rPr>
      <t>w</t>
    </r>
  </si>
  <si>
    <r>
      <t>l</t>
    </r>
    <r>
      <rPr>
        <vertAlign val="subscript"/>
        <sz val="11"/>
        <color theme="1"/>
        <rFont val="Calibri"/>
        <family val="2"/>
        <scheme val="minor"/>
      </rPr>
      <t>d</t>
    </r>
  </si>
  <si>
    <r>
      <t>q</t>
    </r>
    <r>
      <rPr>
        <vertAlign val="subscript"/>
        <sz val="11"/>
        <color theme="1"/>
        <rFont val="Calibri"/>
        <family val="2"/>
        <scheme val="minor"/>
      </rPr>
      <t>a</t>
    </r>
  </si>
  <si>
    <t>Heat flux average</t>
  </si>
  <si>
    <r>
      <t>D</t>
    </r>
    <r>
      <rPr>
        <vertAlign val="subscript"/>
        <sz val="11"/>
        <color theme="1"/>
        <rFont val="Calibri"/>
        <family val="2"/>
        <scheme val="minor"/>
      </rPr>
      <t>ti</t>
    </r>
  </si>
  <si>
    <r>
      <t>A</t>
    </r>
    <r>
      <rPr>
        <vertAlign val="subscript"/>
        <sz val="11"/>
        <color theme="1"/>
        <rFont val="Calibri"/>
        <family val="2"/>
        <scheme val="minor"/>
      </rPr>
      <t>ti</t>
    </r>
  </si>
  <si>
    <r>
      <t>ṁ</t>
    </r>
    <r>
      <rPr>
        <vertAlign val="subscript"/>
        <sz val="11"/>
        <color theme="1"/>
        <rFont val="Calibri"/>
        <family val="2"/>
        <scheme val="minor"/>
      </rPr>
      <t>l</t>
    </r>
  </si>
  <si>
    <r>
      <t>ρ</t>
    </r>
    <r>
      <rPr>
        <vertAlign val="subscript"/>
        <sz val="11"/>
        <color theme="1"/>
        <rFont val="Calibri"/>
        <family val="2"/>
        <scheme val="minor"/>
      </rPr>
      <t>l</t>
    </r>
  </si>
  <si>
    <r>
      <t>u</t>
    </r>
    <r>
      <rPr>
        <vertAlign val="subscript"/>
        <sz val="11"/>
        <color theme="1"/>
        <rFont val="Calibri"/>
        <family val="2"/>
        <scheme val="minor"/>
      </rPr>
      <t>w</t>
    </r>
  </si>
  <si>
    <r>
      <t>ρ</t>
    </r>
    <r>
      <rPr>
        <vertAlign val="subscript"/>
        <sz val="11"/>
        <color theme="1"/>
        <rFont val="Calibri"/>
        <family val="2"/>
        <scheme val="minor"/>
      </rPr>
      <t>w</t>
    </r>
  </si>
  <si>
    <r>
      <t>μ</t>
    </r>
    <r>
      <rPr>
        <vertAlign val="subscript"/>
        <sz val="11"/>
        <color theme="1"/>
        <rFont val="Calibri"/>
        <family val="2"/>
        <scheme val="minor"/>
      </rPr>
      <t>w</t>
    </r>
  </si>
  <si>
    <r>
      <t>c</t>
    </r>
    <r>
      <rPr>
        <vertAlign val="subscript"/>
        <sz val="11"/>
        <color theme="1"/>
        <rFont val="Calibri"/>
        <family val="2"/>
        <scheme val="minor"/>
      </rPr>
      <t>w</t>
    </r>
  </si>
  <si>
    <r>
      <t>k</t>
    </r>
    <r>
      <rPr>
        <vertAlign val="subscript"/>
        <sz val="11"/>
        <color theme="1"/>
        <rFont val="Calibri"/>
        <family val="2"/>
        <scheme val="minor"/>
      </rPr>
      <t>w</t>
    </r>
  </si>
  <si>
    <r>
      <t>T</t>
    </r>
    <r>
      <rPr>
        <vertAlign val="subscript"/>
        <sz val="11"/>
        <color theme="1"/>
        <rFont val="Calibri"/>
        <family val="2"/>
        <scheme val="minor"/>
      </rPr>
      <t>wd</t>
    </r>
  </si>
  <si>
    <r>
      <t>T</t>
    </r>
    <r>
      <rPr>
        <vertAlign val="subscript"/>
        <sz val="11"/>
        <color theme="1"/>
        <rFont val="Calibri"/>
        <family val="2"/>
        <scheme val="minor"/>
      </rPr>
      <t>w</t>
    </r>
  </si>
  <si>
    <r>
      <t>T</t>
    </r>
    <r>
      <rPr>
        <vertAlign val="subscript"/>
        <sz val="11"/>
        <color theme="1"/>
        <rFont val="Calibri"/>
        <family val="2"/>
        <scheme val="minor"/>
      </rPr>
      <t>dc</t>
    </r>
  </si>
  <si>
    <r>
      <t>T</t>
    </r>
    <r>
      <rPr>
        <vertAlign val="subscript"/>
        <sz val="11"/>
        <color theme="1"/>
        <rFont val="Calibri"/>
        <family val="2"/>
        <scheme val="minor"/>
      </rPr>
      <t>cc</t>
    </r>
  </si>
  <si>
    <r>
      <t>T</t>
    </r>
    <r>
      <rPr>
        <vertAlign val="subscript"/>
        <sz val="11"/>
        <color theme="1"/>
        <rFont val="Calibri"/>
        <family val="2"/>
        <scheme val="minor"/>
      </rPr>
      <t>cf</t>
    </r>
  </si>
  <si>
    <r>
      <t>x</t>
    </r>
    <r>
      <rPr>
        <vertAlign val="subscript"/>
        <sz val="11"/>
        <color theme="1"/>
        <rFont val="Calibri"/>
        <family val="2"/>
        <scheme val="minor"/>
      </rPr>
      <t>s</t>
    </r>
  </si>
  <si>
    <t>Efficiency</t>
  </si>
  <si>
    <t>Heat flux efficiency</t>
  </si>
  <si>
    <t>Efficiency standard</t>
  </si>
  <si>
    <t>Efficiency input</t>
  </si>
  <si>
    <t>Efficiency true</t>
  </si>
  <si>
    <r>
      <t>q</t>
    </r>
    <r>
      <rPr>
        <vertAlign val="subscript"/>
        <sz val="11"/>
        <color theme="1"/>
        <rFont val="Calibri"/>
        <family val="2"/>
        <scheme val="minor"/>
      </rPr>
      <t>e</t>
    </r>
  </si>
  <si>
    <t>Water vapor-% input</t>
  </si>
  <si>
    <t>Water vapor-% standard</t>
  </si>
  <si>
    <t>Floor loading input</t>
  </si>
  <si>
    <t>Floor loading true</t>
  </si>
  <si>
    <t>CR</t>
  </si>
  <si>
    <t>Deposits</t>
  </si>
  <si>
    <t>Hardwood 13 (MJ/(kgDS))</t>
  </si>
  <si>
    <t>(mm)</t>
  </si>
  <si>
    <t>(tDS/day)</t>
  </si>
  <si>
    <t>(kgDS/s)</t>
  </si>
  <si>
    <t>(MJ/kgDS)</t>
  </si>
  <si>
    <t>(MW)</t>
  </si>
  <si>
    <t>(m)</t>
  </si>
  <si>
    <t>(%)</t>
  </si>
  <si>
    <t>(m/s)</t>
  </si>
  <si>
    <t>(bar)</t>
  </si>
  <si>
    <t>(Pa·s)</t>
  </si>
  <si>
    <t>(J/kgK)</t>
  </si>
  <si>
    <t>(W/mK)</t>
  </si>
  <si>
    <t>(kg/s)</t>
  </si>
  <si>
    <t>(μm)</t>
  </si>
  <si>
    <t>(mm/y )</t>
  </si>
  <si>
    <t>Softwood 14 (MJ/(kgDS))</t>
  </si>
  <si>
    <r>
      <t>(MW/m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</si>
  <si>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r>
      <t>(kW/m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</si>
  <si>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r>
      <t>(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C)</t>
    </r>
  </si>
  <si>
    <t>(mm/y)</t>
  </si>
  <si>
    <t>Temperature</t>
  </si>
  <si>
    <t>Furnace height</t>
  </si>
  <si>
    <t>Thermal conductivity</t>
  </si>
  <si>
    <t>Sanicro 38</t>
  </si>
  <si>
    <t>Smelt</t>
  </si>
  <si>
    <t>Source</t>
  </si>
  <si>
    <t>(Molgaard and Smeltzer, 1971)</t>
  </si>
  <si>
    <t>Carbon steel (4L7)</t>
  </si>
  <si>
    <r>
      <t>(m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)</t>
    </r>
  </si>
  <si>
    <r>
      <t>(kg/m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</si>
  <si>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r>
      <t>(W/m</t>
    </r>
    <r>
      <rPr>
        <vertAlign val="super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K)</t>
    </r>
  </si>
  <si>
    <t>Corrosion rate</t>
  </si>
  <si>
    <t>Boiler load / DS firing rate</t>
  </si>
  <si>
    <t>Heat input calculated</t>
  </si>
  <si>
    <t>Heat input input</t>
  </si>
  <si>
    <t>Heat input true</t>
  </si>
  <si>
    <t>Sanicro 38 max</t>
  </si>
  <si>
    <r>
      <t>Q</t>
    </r>
    <r>
      <rPr>
        <vertAlign val="subscript"/>
        <sz val="11"/>
        <color theme="1"/>
        <rFont val="Calibri"/>
        <family val="2"/>
        <scheme val="minor"/>
      </rPr>
      <t>c</t>
    </r>
  </si>
  <si>
    <r>
      <t>Q</t>
    </r>
    <r>
      <rPr>
        <vertAlign val="subscript"/>
        <sz val="11"/>
        <rFont val="Calibri"/>
        <family val="2"/>
        <scheme val="minor"/>
      </rPr>
      <t>i</t>
    </r>
  </si>
  <si>
    <r>
      <t>Q</t>
    </r>
    <r>
      <rPr>
        <vertAlign val="subscript"/>
        <sz val="11"/>
        <rFont val="Calibri"/>
        <family val="2"/>
        <scheme val="minor"/>
      </rPr>
      <t>t</t>
    </r>
  </si>
  <si>
    <t>Floor loading calculated</t>
  </si>
  <si>
    <r>
      <t>HHRR</t>
    </r>
    <r>
      <rPr>
        <vertAlign val="subscript"/>
        <sz val="11"/>
        <color theme="1"/>
        <rFont val="Calibri"/>
        <family val="2"/>
        <scheme val="minor"/>
      </rPr>
      <t>c</t>
    </r>
  </si>
  <si>
    <r>
      <t>HHRR</t>
    </r>
    <r>
      <rPr>
        <vertAlign val="subscript"/>
        <sz val="11"/>
        <color theme="1"/>
        <rFont val="Calibri"/>
        <family val="2"/>
        <scheme val="minor"/>
      </rPr>
      <t>i</t>
    </r>
  </si>
  <si>
    <r>
      <t>HHRR</t>
    </r>
    <r>
      <rPr>
        <vertAlign val="subscript"/>
        <sz val="11"/>
        <color theme="1"/>
        <rFont val="Calibri"/>
        <family val="2"/>
        <scheme val="minor"/>
      </rPr>
      <t>t</t>
    </r>
  </si>
  <si>
    <r>
      <t>HHV</t>
    </r>
    <r>
      <rPr>
        <vertAlign val="subscript"/>
        <sz val="11"/>
        <color theme="1"/>
        <rFont val="Calibri"/>
        <family val="2"/>
        <scheme val="minor"/>
      </rPr>
      <t>c</t>
    </r>
  </si>
  <si>
    <r>
      <t>HHV</t>
    </r>
    <r>
      <rPr>
        <vertAlign val="subscript"/>
        <sz val="11"/>
        <color theme="1"/>
        <rFont val="Calibri"/>
        <family val="2"/>
        <scheme val="minor"/>
      </rPr>
      <t>i</t>
    </r>
  </si>
  <si>
    <r>
      <t>HHV</t>
    </r>
    <r>
      <rPr>
        <vertAlign val="subscript"/>
        <sz val="11"/>
        <color theme="1"/>
        <rFont val="Calibri"/>
        <family val="2"/>
        <scheme val="minor"/>
      </rPr>
      <t>t</t>
    </r>
  </si>
  <si>
    <t>Wood type</t>
  </si>
  <si>
    <t>(MJ/(kgDS))</t>
  </si>
  <si>
    <t>Floor loading (HHRR)</t>
  </si>
  <si>
    <t>Average heat flux</t>
  </si>
  <si>
    <t>Maximum heat flux</t>
  </si>
  <si>
    <r>
      <t>a</t>
    </r>
    <r>
      <rPr>
        <vertAlign val="subscript"/>
        <sz val="11"/>
        <color theme="1"/>
        <rFont val="Calibri"/>
        <family val="2"/>
        <scheme val="minor"/>
      </rPr>
      <t>q</t>
    </r>
  </si>
  <si>
    <r>
      <t>b</t>
    </r>
    <r>
      <rPr>
        <vertAlign val="subscript"/>
        <sz val="11"/>
        <color theme="1"/>
        <rFont val="Calibri"/>
        <family val="2"/>
        <scheme val="minor"/>
      </rPr>
      <t>q</t>
    </r>
  </si>
  <si>
    <r>
      <t>q</t>
    </r>
    <r>
      <rPr>
        <vertAlign val="subscript"/>
        <sz val="11"/>
        <color theme="1"/>
        <rFont val="Calibri"/>
        <family val="2"/>
        <scheme val="minor"/>
      </rPr>
      <t>f</t>
    </r>
  </si>
  <si>
    <r>
      <t>η</t>
    </r>
    <r>
      <rPr>
        <vertAlign val="subscript"/>
        <sz val="11"/>
        <color theme="1"/>
        <rFont val="Aptos Narrow"/>
        <family val="2"/>
      </rPr>
      <t>s</t>
    </r>
  </si>
  <si>
    <r>
      <t>η</t>
    </r>
    <r>
      <rPr>
        <vertAlign val="subscript"/>
        <sz val="11"/>
        <color theme="1"/>
        <rFont val="Aptos Narrow"/>
        <family val="2"/>
      </rPr>
      <t>i</t>
    </r>
  </si>
  <si>
    <r>
      <t>η</t>
    </r>
    <r>
      <rPr>
        <vertAlign val="subscript"/>
        <sz val="11"/>
        <color theme="1"/>
        <rFont val="Aptos Narrow"/>
        <family val="2"/>
      </rPr>
      <t>t</t>
    </r>
  </si>
  <si>
    <t>Heat flux %</t>
  </si>
  <si>
    <t>Height %</t>
  </si>
  <si>
    <r>
      <t>l%</t>
    </r>
    <r>
      <rPr>
        <vertAlign val="subscript"/>
        <sz val="11"/>
        <color theme="1"/>
        <rFont val="Calibri"/>
        <family val="2"/>
        <scheme val="minor"/>
      </rPr>
      <t>c</t>
    </r>
  </si>
  <si>
    <r>
      <t>k</t>
    </r>
    <r>
      <rPr>
        <vertAlign val="subscript"/>
        <sz val="11"/>
        <color theme="1"/>
        <rFont val="Calibri"/>
        <family val="2"/>
        <scheme val="minor"/>
      </rPr>
      <t>c</t>
    </r>
  </si>
  <si>
    <r>
      <t>(W/m</t>
    </r>
    <r>
      <rPr>
        <vertAlign val="superscript"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</rPr>
      <t>)</t>
    </r>
  </si>
  <si>
    <r>
      <t>l%</t>
    </r>
    <r>
      <rPr>
        <vertAlign val="subscript"/>
        <sz val="11"/>
        <color theme="1"/>
        <rFont val="Calibri"/>
        <family val="2"/>
        <scheme val="minor"/>
      </rPr>
      <t>i</t>
    </r>
  </si>
  <si>
    <t>Relative location percentage input</t>
  </si>
  <si>
    <t>Relative location percentage choice</t>
  </si>
  <si>
    <r>
      <t>l</t>
    </r>
    <r>
      <rPr>
        <vertAlign val="subscript"/>
        <sz val="11"/>
        <color theme="1"/>
        <rFont val="Calibri"/>
        <family val="2"/>
        <scheme val="minor"/>
      </rPr>
      <t>c</t>
    </r>
  </si>
  <si>
    <r>
      <t>l</t>
    </r>
    <r>
      <rPr>
        <vertAlign val="subscript"/>
        <sz val="11"/>
        <color theme="1"/>
        <rFont val="Calibri"/>
        <family val="2"/>
        <scheme val="minor"/>
      </rPr>
      <t>i</t>
    </r>
  </si>
  <si>
    <t>Height observed from primary air port input</t>
  </si>
  <si>
    <t>Height observed from primary air port choice</t>
  </si>
  <si>
    <r>
      <t>k</t>
    </r>
    <r>
      <rPr>
        <vertAlign val="subscript"/>
        <sz val="11"/>
        <color theme="1"/>
        <rFont val="Calibri"/>
        <family val="2"/>
        <scheme val="minor"/>
      </rPr>
      <t>i</t>
    </r>
  </si>
  <si>
    <r>
      <t>k</t>
    </r>
    <r>
      <rPr>
        <vertAlign val="subscript"/>
        <sz val="11"/>
        <color theme="1"/>
        <rFont val="Calibri"/>
        <family val="2"/>
        <scheme val="minor"/>
      </rPr>
      <t>t</t>
    </r>
  </si>
  <si>
    <t>Heat flux multiplier input location</t>
  </si>
  <si>
    <t>Heat flux multiplier input maximum</t>
  </si>
  <si>
    <r>
      <t>k</t>
    </r>
    <r>
      <rPr>
        <vertAlign val="subscript"/>
        <sz val="11"/>
        <color theme="1"/>
        <rFont val="Calibri"/>
        <family val="2"/>
        <scheme val="minor"/>
      </rPr>
      <t>m</t>
    </r>
  </si>
  <si>
    <t>Old height</t>
  </si>
  <si>
    <t>New height</t>
  </si>
  <si>
    <t>New heat flux multiplier</t>
  </si>
  <si>
    <t>Old heat flux multiplier</t>
  </si>
  <si>
    <t>Height primary old</t>
  </si>
  <si>
    <t>height primary new</t>
  </si>
  <si>
    <r>
      <t>q</t>
    </r>
    <r>
      <rPr>
        <vertAlign val="subscript"/>
        <sz val="11"/>
        <color theme="1"/>
        <rFont val="Calibri"/>
        <family val="2"/>
        <scheme val="minor"/>
      </rPr>
      <t>c</t>
    </r>
  </si>
  <si>
    <r>
      <t>q</t>
    </r>
    <r>
      <rPr>
        <vertAlign val="subscript"/>
        <sz val="11"/>
        <color theme="1"/>
        <rFont val="Calibri"/>
        <family val="2"/>
        <scheme val="minor"/>
      </rPr>
      <t>i</t>
    </r>
  </si>
  <si>
    <r>
      <t>q</t>
    </r>
    <r>
      <rPr>
        <vertAlign val="subscript"/>
        <sz val="11"/>
        <color theme="1"/>
        <rFont val="Calibri"/>
        <family val="2"/>
        <scheme val="minor"/>
      </rPr>
      <t>t</t>
    </r>
  </si>
  <si>
    <r>
      <t>(kW/m</t>
    </r>
    <r>
      <rPr>
        <vertAlign val="superscript"/>
        <sz val="11"/>
        <color theme="1"/>
        <rFont val="Aptos Narrow"/>
        <family val="2"/>
      </rPr>
      <t>2</t>
    </r>
    <r>
      <rPr>
        <sz val="11"/>
        <color theme="1"/>
        <rFont val="Aptos Narrow"/>
        <family val="2"/>
      </rPr>
      <t>)</t>
    </r>
  </si>
  <si>
    <t>Heat flux average conversion</t>
  </si>
  <si>
    <r>
      <t>D</t>
    </r>
    <r>
      <rPr>
        <vertAlign val="subscript"/>
        <sz val="11"/>
        <color theme="1"/>
        <rFont val="Calibri"/>
        <family val="2"/>
        <scheme val="minor"/>
      </rPr>
      <t>toi</t>
    </r>
  </si>
  <si>
    <r>
      <t>D</t>
    </r>
    <r>
      <rPr>
        <vertAlign val="subscript"/>
        <sz val="11"/>
        <color theme="1"/>
        <rFont val="Calibri"/>
        <family val="2"/>
        <scheme val="minor"/>
      </rPr>
      <t>tos</t>
    </r>
  </si>
  <si>
    <r>
      <t>D</t>
    </r>
    <r>
      <rPr>
        <vertAlign val="subscript"/>
        <sz val="11"/>
        <color theme="1"/>
        <rFont val="Calibri"/>
        <family val="2"/>
        <scheme val="minor"/>
      </rPr>
      <t>tot</t>
    </r>
  </si>
  <si>
    <r>
      <t>x</t>
    </r>
    <r>
      <rPr>
        <vertAlign val="subscript"/>
        <sz val="11"/>
        <color theme="1"/>
        <rFont val="Calibri"/>
        <family val="2"/>
        <scheme val="minor"/>
      </rPr>
      <t>ti</t>
    </r>
  </si>
  <si>
    <r>
      <t>x</t>
    </r>
    <r>
      <rPr>
        <vertAlign val="subscript"/>
        <sz val="11"/>
        <color theme="1"/>
        <rFont val="Calibri"/>
        <family val="2"/>
        <scheme val="minor"/>
      </rPr>
      <t>ts</t>
    </r>
  </si>
  <si>
    <r>
      <t>x</t>
    </r>
    <r>
      <rPr>
        <vertAlign val="subscript"/>
        <sz val="11"/>
        <color theme="1"/>
        <rFont val="Calibri"/>
        <family val="2"/>
        <scheme val="minor"/>
      </rPr>
      <t>tt</t>
    </r>
  </si>
  <si>
    <r>
      <t>x</t>
    </r>
    <r>
      <rPr>
        <vertAlign val="subscript"/>
        <sz val="11"/>
        <color theme="1"/>
        <rFont val="Calibri"/>
        <family val="2"/>
        <scheme val="minor"/>
      </rPr>
      <t>cli</t>
    </r>
  </si>
  <si>
    <r>
      <t>x</t>
    </r>
    <r>
      <rPr>
        <vertAlign val="subscript"/>
        <sz val="11"/>
        <color theme="1"/>
        <rFont val="Calibri"/>
        <family val="2"/>
        <scheme val="minor"/>
      </rPr>
      <t>cls</t>
    </r>
  </si>
  <si>
    <r>
      <t>x</t>
    </r>
    <r>
      <rPr>
        <vertAlign val="subscript"/>
        <sz val="11"/>
        <color theme="1"/>
        <rFont val="Calibri"/>
        <family val="2"/>
        <scheme val="minor"/>
      </rPr>
      <t>clt</t>
    </r>
  </si>
  <si>
    <r>
      <t>x</t>
    </r>
    <r>
      <rPr>
        <vertAlign val="subscript"/>
        <sz val="11"/>
        <color theme="1"/>
        <rFont val="Calibri"/>
        <family val="2"/>
        <scheme val="minor"/>
      </rPr>
      <t>cst</t>
    </r>
  </si>
  <si>
    <t>Drum water velocity input</t>
  </si>
  <si>
    <t>Drum water velocity standard</t>
  </si>
  <si>
    <t>Drum water velocity true</t>
  </si>
  <si>
    <r>
      <t>u</t>
    </r>
    <r>
      <rPr>
        <vertAlign val="subscript"/>
        <sz val="11"/>
        <color theme="1"/>
        <rFont val="Calibri"/>
        <family val="2"/>
        <scheme val="minor"/>
      </rPr>
      <t>li</t>
    </r>
  </si>
  <si>
    <r>
      <t>u</t>
    </r>
    <r>
      <rPr>
        <vertAlign val="subscript"/>
        <sz val="11"/>
        <color theme="1"/>
        <rFont val="Calibri"/>
        <family val="2"/>
        <scheme val="minor"/>
      </rPr>
      <t>ls</t>
    </r>
  </si>
  <si>
    <r>
      <t>u</t>
    </r>
    <r>
      <rPr>
        <vertAlign val="subscript"/>
        <sz val="11"/>
        <color theme="1"/>
        <rFont val="Calibri"/>
        <family val="2"/>
        <scheme val="minor"/>
      </rPr>
      <t>lt</t>
    </r>
  </si>
  <si>
    <r>
      <t>v-%</t>
    </r>
    <r>
      <rPr>
        <vertAlign val="subscript"/>
        <sz val="11"/>
        <color theme="1"/>
        <rFont val="Calibri"/>
        <family val="2"/>
        <scheme val="minor"/>
      </rPr>
      <t>i</t>
    </r>
  </si>
  <si>
    <r>
      <t>v-%</t>
    </r>
    <r>
      <rPr>
        <vertAlign val="subscript"/>
        <sz val="11"/>
        <color theme="1"/>
        <rFont val="Calibri"/>
        <family val="2"/>
        <scheme val="minor"/>
      </rPr>
      <t>s</t>
    </r>
  </si>
  <si>
    <r>
      <t>v-%</t>
    </r>
    <r>
      <rPr>
        <vertAlign val="subscript"/>
        <sz val="11"/>
        <color theme="1"/>
        <rFont val="Calibri"/>
        <family val="2"/>
        <scheme val="minor"/>
      </rPr>
      <t>t</t>
    </r>
  </si>
  <si>
    <r>
      <t>l-%</t>
    </r>
    <r>
      <rPr>
        <vertAlign val="subscript"/>
        <sz val="11"/>
        <color theme="1"/>
        <rFont val="Calibri"/>
        <family val="2"/>
        <scheme val="minor"/>
      </rPr>
      <t>t</t>
    </r>
  </si>
  <si>
    <t>Steam drum pressure</t>
  </si>
  <si>
    <t>Density water/steam</t>
  </si>
  <si>
    <t>Dynamic viscosity water/steam</t>
  </si>
  <si>
    <t>Specific heat capacity water/steam</t>
  </si>
  <si>
    <t>Thermal conductivity water/steam</t>
  </si>
  <si>
    <t>Temperature water/steam</t>
  </si>
  <si>
    <t>Liquid</t>
  </si>
  <si>
    <t>Vapor</t>
  </si>
  <si>
    <t>(J/kg)</t>
  </si>
  <si>
    <t>(K/bar)</t>
  </si>
  <si>
    <t>(N/m)</t>
  </si>
  <si>
    <t>Pressure</t>
  </si>
  <si>
    <t>Volume</t>
  </si>
  <si>
    <t>Internal Energy</t>
  </si>
  <si>
    <t>Enthalpy</t>
  </si>
  <si>
    <t>Entropy</t>
  </si>
  <si>
    <t>Cv</t>
  </si>
  <si>
    <t>Sound Spd</t>
  </si>
  <si>
    <t>Joule-Thomson</t>
  </si>
  <si>
    <t>Surf, Tension</t>
  </si>
  <si>
    <t>100 % vapor</t>
  </si>
  <si>
    <t>100 % liquid</t>
  </si>
  <si>
    <r>
      <t>(m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/kg)</t>
    </r>
  </si>
  <si>
    <t>Velocity water/steam</t>
  </si>
  <si>
    <r>
      <t>k</t>
    </r>
    <r>
      <rPr>
        <vertAlign val="subscript"/>
        <sz val="11"/>
        <color theme="1"/>
        <rFont val="Calibri"/>
        <family val="2"/>
        <scheme val="minor"/>
      </rPr>
      <t>dc</t>
    </r>
  </si>
  <si>
    <r>
      <t>k</t>
    </r>
    <r>
      <rPr>
        <vertAlign val="subscript"/>
        <sz val="11"/>
        <color theme="1"/>
        <rFont val="Calibri"/>
        <family val="2"/>
        <scheme val="minor"/>
      </rPr>
      <t>di</t>
    </r>
  </si>
  <si>
    <r>
      <t>k</t>
    </r>
    <r>
      <rPr>
        <vertAlign val="subscript"/>
        <sz val="11"/>
        <color theme="1"/>
        <rFont val="Calibri"/>
        <family val="2"/>
        <scheme val="minor"/>
      </rPr>
      <t>dt</t>
    </r>
  </si>
  <si>
    <r>
      <t>x</t>
    </r>
    <r>
      <rPr>
        <vertAlign val="subscript"/>
        <sz val="11"/>
        <color theme="1"/>
        <rFont val="Calibri"/>
        <family val="2"/>
        <scheme val="minor"/>
      </rPr>
      <t>di</t>
    </r>
  </si>
  <si>
    <r>
      <t>x</t>
    </r>
    <r>
      <rPr>
        <vertAlign val="subscript"/>
        <sz val="11"/>
        <color theme="1"/>
        <rFont val="Calibri"/>
        <family val="2"/>
        <scheme val="minor"/>
      </rPr>
      <t>dt</t>
    </r>
  </si>
  <si>
    <r>
      <t>Magnetite (Fe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4</t>
    </r>
    <r>
      <rPr>
        <sz val="11"/>
        <color theme="1"/>
        <rFont val="Calibri"/>
        <family val="2"/>
        <scheme val="minor"/>
      </rPr>
      <t>)</t>
    </r>
  </si>
  <si>
    <r>
      <t>Hematite (Fe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</t>
    </r>
    <r>
      <rPr>
        <vertAlign val="sub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)</t>
    </r>
  </si>
  <si>
    <t>Equation parameter k carbon steel a</t>
  </si>
  <si>
    <t>Equation parameter k carbon steel b</t>
  </si>
  <si>
    <t>Equation parameter k carbon steel c</t>
  </si>
  <si>
    <t>Equation parameter k cladding a</t>
  </si>
  <si>
    <t>Equation parameter k cladding b</t>
  </si>
  <si>
    <r>
      <t>a</t>
    </r>
    <r>
      <rPr>
        <vertAlign val="subscript"/>
        <sz val="11"/>
        <color theme="1"/>
        <rFont val="Calibri"/>
        <family val="2"/>
        <scheme val="minor"/>
      </rPr>
      <t>cs</t>
    </r>
  </si>
  <si>
    <r>
      <t>a</t>
    </r>
    <r>
      <rPr>
        <vertAlign val="subscript"/>
        <sz val="11"/>
        <color theme="1"/>
        <rFont val="Calibri"/>
        <family val="2"/>
        <scheme val="minor"/>
      </rPr>
      <t>cl</t>
    </r>
  </si>
  <si>
    <r>
      <t>a</t>
    </r>
    <r>
      <rPr>
        <vertAlign val="subscript"/>
        <sz val="11"/>
        <color theme="1"/>
        <rFont val="Calibri"/>
        <family val="2"/>
        <scheme val="minor"/>
      </rPr>
      <t>304</t>
    </r>
  </si>
  <si>
    <r>
      <t>a</t>
    </r>
    <r>
      <rPr>
        <vertAlign val="subscript"/>
        <sz val="11"/>
        <color theme="1"/>
        <rFont val="Calibri"/>
        <family val="2"/>
        <scheme val="minor"/>
      </rPr>
      <t>38</t>
    </r>
  </si>
  <si>
    <r>
      <t>b</t>
    </r>
    <r>
      <rPr>
        <vertAlign val="subscript"/>
        <sz val="11"/>
        <color theme="1"/>
        <rFont val="Calibri"/>
        <family val="2"/>
        <scheme val="minor"/>
      </rPr>
      <t>cs</t>
    </r>
  </si>
  <si>
    <r>
      <t>c</t>
    </r>
    <r>
      <rPr>
        <vertAlign val="subscript"/>
        <sz val="11"/>
        <color theme="1"/>
        <rFont val="Calibri"/>
        <family val="2"/>
        <scheme val="minor"/>
      </rPr>
      <t>cs</t>
    </r>
  </si>
  <si>
    <r>
      <t>b</t>
    </r>
    <r>
      <rPr>
        <vertAlign val="subscript"/>
        <sz val="11"/>
        <color theme="1"/>
        <rFont val="Calibri"/>
        <family val="2"/>
        <scheme val="minor"/>
      </rPr>
      <t>304</t>
    </r>
  </si>
  <si>
    <r>
      <t>b</t>
    </r>
    <r>
      <rPr>
        <vertAlign val="subscript"/>
        <sz val="11"/>
        <color theme="1"/>
        <rFont val="Calibri"/>
        <family val="2"/>
        <scheme val="minor"/>
      </rPr>
      <t>38</t>
    </r>
  </si>
  <si>
    <r>
      <t>k</t>
    </r>
    <r>
      <rPr>
        <vertAlign val="subscript"/>
        <sz val="11"/>
        <color theme="1"/>
        <rFont val="Calibri"/>
        <family val="2"/>
        <scheme val="minor"/>
      </rPr>
      <t>csf</t>
    </r>
  </si>
  <si>
    <r>
      <t>k</t>
    </r>
    <r>
      <rPr>
        <vertAlign val="subscript"/>
        <sz val="11"/>
        <color theme="1"/>
        <rFont val="Calibri"/>
        <family val="2"/>
        <scheme val="minor"/>
      </rPr>
      <t>csi</t>
    </r>
  </si>
  <si>
    <r>
      <t>k</t>
    </r>
    <r>
      <rPr>
        <vertAlign val="subscript"/>
        <sz val="11"/>
        <color theme="1"/>
        <rFont val="Calibri"/>
        <family val="2"/>
        <scheme val="minor"/>
      </rPr>
      <t>cst</t>
    </r>
  </si>
  <si>
    <r>
      <t>b</t>
    </r>
    <r>
      <rPr>
        <vertAlign val="subscript"/>
        <sz val="11"/>
        <color theme="1"/>
        <rFont val="Calibri"/>
        <family val="2"/>
        <scheme val="minor"/>
      </rPr>
      <t>cl</t>
    </r>
  </si>
  <si>
    <r>
      <t>k</t>
    </r>
    <r>
      <rPr>
        <vertAlign val="subscript"/>
        <sz val="11"/>
        <color theme="1"/>
        <rFont val="Calibri"/>
        <family val="2"/>
        <scheme val="minor"/>
      </rPr>
      <t>clf</t>
    </r>
  </si>
  <si>
    <r>
      <t>k</t>
    </r>
    <r>
      <rPr>
        <vertAlign val="subscript"/>
        <sz val="11"/>
        <color theme="1"/>
        <rFont val="Calibri"/>
        <family val="2"/>
        <scheme val="minor"/>
      </rPr>
      <t>cli</t>
    </r>
  </si>
  <si>
    <r>
      <t>k</t>
    </r>
    <r>
      <rPr>
        <vertAlign val="subscript"/>
        <sz val="11"/>
        <color theme="1"/>
        <rFont val="Calibri"/>
        <family val="2"/>
        <scheme val="minor"/>
      </rPr>
      <t>clt</t>
    </r>
  </si>
  <si>
    <r>
      <t>k</t>
    </r>
    <r>
      <rPr>
        <vertAlign val="subscript"/>
        <sz val="11"/>
        <color theme="1"/>
        <rFont val="Calibri"/>
        <family val="2"/>
        <scheme val="minor"/>
      </rPr>
      <t>ss</t>
    </r>
  </si>
  <si>
    <t>Temperature smelt surface facing furnace standard</t>
  </si>
  <si>
    <r>
      <t>T</t>
    </r>
    <r>
      <rPr>
        <vertAlign val="subscript"/>
        <sz val="11"/>
        <color theme="1"/>
        <rFont val="Calibri"/>
        <family val="2"/>
        <scheme val="minor"/>
      </rPr>
      <t>ss</t>
    </r>
  </si>
  <si>
    <t>Maximum smelt thickness</t>
  </si>
  <si>
    <t>304 CR</t>
  </si>
  <si>
    <t>304 temperature</t>
  </si>
  <si>
    <t>Sanicro 38 temperature</t>
  </si>
  <si>
    <t>Sanicro 38 CR</t>
  </si>
  <si>
    <t>Equation parameter k cladding 304 a</t>
  </si>
  <si>
    <t>Equation parameter k cladding 304 b</t>
  </si>
  <si>
    <t>Equation parameter k cladding 38 a</t>
  </si>
  <si>
    <t>Equation parameter k cladding 38 b</t>
  </si>
  <si>
    <t>Equation parameter CR a</t>
  </si>
  <si>
    <t>Equation parameter CR b</t>
  </si>
  <si>
    <t>Equation parameter CR c</t>
  </si>
  <si>
    <r>
      <t>a</t>
    </r>
    <r>
      <rPr>
        <vertAlign val="subscript"/>
        <sz val="11"/>
        <color theme="1"/>
        <rFont val="Calibri"/>
        <family val="2"/>
        <scheme val="minor"/>
      </rPr>
      <t>CR</t>
    </r>
  </si>
  <si>
    <r>
      <t>b</t>
    </r>
    <r>
      <rPr>
        <vertAlign val="subscript"/>
        <sz val="11"/>
        <color theme="1"/>
        <rFont val="Calibri"/>
        <family val="2"/>
        <scheme val="minor"/>
      </rPr>
      <t>CR</t>
    </r>
  </si>
  <si>
    <r>
      <t>c</t>
    </r>
    <r>
      <rPr>
        <vertAlign val="subscript"/>
        <sz val="11"/>
        <color theme="1"/>
        <rFont val="Calibri"/>
        <family val="2"/>
        <scheme val="minor"/>
      </rPr>
      <t>CR</t>
    </r>
  </si>
  <si>
    <t>Temperature 0 CR</t>
  </si>
  <si>
    <r>
      <t>T</t>
    </r>
    <r>
      <rPr>
        <vertAlign val="subscript"/>
        <sz val="11"/>
        <color theme="1"/>
        <rFont val="Calibri"/>
        <family val="2"/>
        <scheme val="minor"/>
      </rPr>
      <t>nCR</t>
    </r>
  </si>
  <si>
    <t>Deposit thickness</t>
  </si>
  <si>
    <r>
      <t>T</t>
    </r>
    <r>
      <rPr>
        <vertAlign val="subscript"/>
        <sz val="11"/>
        <color theme="1"/>
        <rFont val="Calibri"/>
        <family val="2"/>
        <scheme val="minor"/>
      </rPr>
      <t>cf</t>
    </r>
    <r>
      <rPr>
        <sz val="11"/>
        <color theme="1"/>
        <rFont val="Calibri"/>
        <family val="2"/>
        <scheme val="minor"/>
      </rPr>
      <t xml:space="preserve"> 304</t>
    </r>
  </si>
  <si>
    <r>
      <t>T</t>
    </r>
    <r>
      <rPr>
        <vertAlign val="subscript"/>
        <sz val="11"/>
        <color theme="1"/>
        <rFont val="Calibri"/>
        <family val="2"/>
        <scheme val="minor"/>
      </rPr>
      <t>cf</t>
    </r>
    <r>
      <rPr>
        <sz val="11"/>
        <color theme="1"/>
        <rFont val="Calibri"/>
        <family val="2"/>
        <scheme val="minor"/>
      </rPr>
      <t xml:space="preserve"> Sanicro 38 max</t>
    </r>
  </si>
  <si>
    <t>304 CR max</t>
  </si>
  <si>
    <t>Sanicro 38 CR max</t>
  </si>
  <si>
    <r>
      <t>T</t>
    </r>
    <r>
      <rPr>
        <vertAlign val="subscript"/>
        <sz val="11"/>
        <color theme="1"/>
        <rFont val="Calibri"/>
        <family val="2"/>
        <scheme val="minor"/>
      </rPr>
      <t>cf</t>
    </r>
    <r>
      <rPr>
        <sz val="11"/>
        <color theme="1"/>
        <rFont val="Calibri"/>
        <family val="2"/>
        <scheme val="minor"/>
      </rPr>
      <t xml:space="preserve"> Sanicro 38</t>
    </r>
  </si>
  <si>
    <r>
      <t>T</t>
    </r>
    <r>
      <rPr>
        <vertAlign val="subscript"/>
        <sz val="11"/>
        <color theme="1"/>
        <rFont val="Calibri"/>
        <family val="2"/>
        <scheme val="minor"/>
      </rPr>
      <t>cf</t>
    </r>
    <r>
      <rPr>
        <sz val="11"/>
        <color theme="1"/>
        <rFont val="Calibri"/>
        <family val="2"/>
        <scheme val="minor"/>
      </rPr>
      <t xml:space="preserve"> 304 max</t>
    </r>
  </si>
  <si>
    <t>Heat flux location</t>
  </si>
  <si>
    <t>x_wd</t>
  </si>
  <si>
    <t>x_dc</t>
  </si>
  <si>
    <t>x_cc</t>
  </si>
  <si>
    <t>x_cf</t>
  </si>
  <si>
    <t>x_ss</t>
  </si>
  <si>
    <t>Height observed from primary air port</t>
  </si>
  <si>
    <t>Drum water velocity</t>
  </si>
  <si>
    <t>Cladding thickness Sanicro 38</t>
  </si>
  <si>
    <t>Chosen point</t>
  </si>
  <si>
    <r>
      <t>Temperature [</t>
    </r>
    <r>
      <rPr>
        <vertAlign val="superscript"/>
        <sz val="11"/>
        <color theme="1"/>
        <rFont val="Calibri"/>
        <family val="2"/>
        <scheme val="minor"/>
      </rPr>
      <t>o</t>
    </r>
    <r>
      <rPr>
        <sz val="11"/>
        <color theme="1"/>
        <rFont val="Calibri"/>
        <family val="2"/>
        <scheme val="minor"/>
      </rPr>
      <t>C]</t>
    </r>
  </si>
  <si>
    <t xml:space="preserve">Corrosion rating [mm/y] </t>
  </si>
  <si>
    <r>
      <t>H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S concentration ppm</t>
    </r>
  </si>
  <si>
    <t>Comments</t>
  </si>
  <si>
    <t>Carbon steel</t>
  </si>
  <si>
    <t>Austenitic stainless steel</t>
  </si>
  <si>
    <t>AISI 304, AISI 310</t>
  </si>
  <si>
    <t>(Tavares &amp; Karjunen, 2020)</t>
  </si>
  <si>
    <t>AISI 304</t>
  </si>
  <si>
    <t>(Salmenoja and Tuiremo, 2001 from Vakkilainen, 2005)</t>
  </si>
  <si>
    <t>5000 (H2S-N2 vppm)</t>
  </si>
  <si>
    <t>304L</t>
  </si>
  <si>
    <t>(Mäkipää et al., 2001)</t>
  </si>
  <si>
    <t>5 % Cr carbon steel, 18Cr-8Ni</t>
  </si>
  <si>
    <t>(Nickel, n.d.)</t>
  </si>
  <si>
    <t>Low</t>
  </si>
  <si>
    <t>S30403</t>
  </si>
  <si>
    <t>(Nimmervoll et al., 2022)</t>
  </si>
  <si>
    <t>Medium</t>
  </si>
  <si>
    <t>High</t>
  </si>
  <si>
    <t>304L (no water vapor)</t>
  </si>
  <si>
    <t>(Yli-Olli et al., 2007)</t>
  </si>
  <si>
    <t>Pos 1</t>
  </si>
  <si>
    <t>Pos 2</t>
  </si>
  <si>
    <t>Pos 3</t>
  </si>
  <si>
    <t>Pos 4</t>
  </si>
  <si>
    <t>Pos 5</t>
  </si>
  <si>
    <t>Pos 6</t>
  </si>
  <si>
    <t>Height</t>
  </si>
  <si>
    <t>Measured</t>
  </si>
  <si>
    <t>Calculated</t>
  </si>
  <si>
    <t>Austenitic stainless steel (304L)</t>
  </si>
  <si>
    <t>(Pohjanne, 2013)</t>
  </si>
  <si>
    <t>(Kiwa, 2014)</t>
  </si>
  <si>
    <t>Varies</t>
  </si>
  <si>
    <t>(Khodahami, 2024)</t>
  </si>
  <si>
    <t>(Liikola, 2015)</t>
  </si>
  <si>
    <t>AISI 304 and Sanicro 38</t>
  </si>
  <si>
    <r>
      <t>Heat flux max (q</t>
    </r>
    <r>
      <rPr>
        <vertAlign val="sub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scheme val="minor"/>
      </rPr>
      <t>)</t>
    </r>
  </si>
  <si>
    <r>
      <t>Heat flux average (q</t>
    </r>
    <r>
      <rPr>
        <vertAlign val="sub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)</t>
    </r>
  </si>
  <si>
    <t>Both</t>
  </si>
  <si>
    <t>AISI 304 max</t>
  </si>
  <si>
    <t>Temperature carbon steel-cladding interface</t>
  </si>
  <si>
    <t>Temperature deposit-carbon steel interface</t>
  </si>
  <si>
    <t>Furnace height  from the primary air port to nose arch upper edge</t>
  </si>
  <si>
    <t>Furnace height from the primary air port to nose arch upper edge</t>
  </si>
  <si>
    <t>Nose arch upper edge</t>
  </si>
  <si>
    <t>Rapport 2025-1, Deposits, bilaga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</si>
</sst>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0.0000"/>
    <numFmt numFmtId="165" formatCode="0.000"/>
    <numFmt numFmtId="166" formatCode="0.0\ %"/>
    <numFmt numFmtId="167" formatCode="0.000\ %"/>
    <numFmt numFmtId="168" formatCode="0.0"/>
    <numFmt numFmtId="169" formatCode="0.00000"/>
    <numFmt numFmtId="170" formatCode="0.000000"/>
    <numFmt numFmtId="171" formatCode="0.00000E+00"/>
    <numFmt numFmtId="172" formatCode="0.000000E+00"/>
    <numFmt numFmtId="173" formatCode="0.0000\ %"/>
  </numFmts>
  <fonts count="15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ptos Narrow"/>
      <family val="2"/>
    </font>
    <font>
      <vertAlign val="superscript"/>
      <sz val="11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vertAlign val="subscript"/>
      <sz val="11"/>
      <name val="Calibri"/>
      <family val="2"/>
      <scheme val="minor"/>
    </font>
    <font>
      <vertAlign val="subscript"/>
      <sz val="11"/>
      <color theme="1"/>
      <name val="Aptos Narrow"/>
      <family val="2"/>
    </font>
    <font>
      <vertAlign val="superscript"/>
      <sz val="11"/>
      <color theme="1"/>
      <name val="Aptos Narrow"/>
      <family val="2"/>
    </font>
    <font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9" fontId="6" fillId="0" borderId="0" applyFont="0" applyFill="0" applyBorder="0" applyAlignment="0" applyProtection="0"/>
  </cellStyleXfs>
  <cellXfs count="330">
    <xf numFmtId="0" fontId="0" fillId="0" borderId="0" xfId="0"/>
    <xf numFmtId="0" fontId="0" fillId="0" borderId="3" xfId="0" applyBorder="1"/>
    <xf numFmtId="0" fontId="0" fillId="0" borderId="0" xfId="0" applyAlignment="1">
      <alignment horizontal="center" vertical="center"/>
    </xf>
    <xf numFmtId="49" fontId="0" fillId="0" borderId="0" xfId="0" applyNumberFormat="1"/>
    <xf numFmtId="11" fontId="0" fillId="0" borderId="0" xfId="0" applyNumberFormat="1"/>
    <xf numFmtId="164" fontId="0" fillId="0" borderId="0" xfId="0" applyNumberFormat="1"/>
    <xf numFmtId="0" fontId="0" fillId="0" borderId="4" xfId="0" applyBorder="1" applyAlignment="1">
      <alignment horizontal="center" vertical="center"/>
    </xf>
    <xf numFmtId="0" fontId="4" fillId="0" borderId="0" xfId="0" applyFont="1"/>
    <xf numFmtId="2" fontId="0" fillId="0" borderId="0" xfId="0" applyNumberFormat="1" applyAlignment="1">
      <alignment horizontal="center" vertical="center"/>
    </xf>
    <xf numFmtId="11" fontId="0" fillId="2" borderId="0" xfId="0" applyNumberFormat="1" applyFill="1"/>
    <xf numFmtId="164" fontId="0" fillId="0" borderId="3" xfId="0" applyNumberFormat="1" applyBorder="1"/>
    <xf numFmtId="10" fontId="0" fillId="0" borderId="0" xfId="0" applyNumberFormat="1"/>
    <xf numFmtId="9" fontId="0" fillId="0" borderId="0" xfId="2" applyFont="1"/>
    <xf numFmtId="165" fontId="0" fillId="0" borderId="3" xfId="0" applyNumberFormat="1" applyBorder="1"/>
    <xf numFmtId="166" fontId="0" fillId="0" borderId="0" xfId="2" applyNumberFormat="1" applyFont="1"/>
    <xf numFmtId="165" fontId="0" fillId="2" borderId="0" xfId="0" applyNumberFormat="1" applyFill="1"/>
    <xf numFmtId="165" fontId="0" fillId="0" borderId="0" xfId="0" applyNumberFormat="1"/>
    <xf numFmtId="165" fontId="5" fillId="0" borderId="0" xfId="0" applyNumberFormat="1" applyFont="1"/>
    <xf numFmtId="0" fontId="5" fillId="0" borderId="0" xfId="0" applyFont="1"/>
    <xf numFmtId="0" fontId="0" fillId="9" borderId="0" xfId="0" applyFill="1"/>
    <xf numFmtId="0" fontId="0" fillId="0" borderId="0" xfId="0" applyAlignment="1">
      <alignment horizontal="center"/>
    </xf>
    <xf numFmtId="165" fontId="0" fillId="0" borderId="3" xfId="0" applyNumberFormat="1" applyBorder="1" applyAlignment="1">
      <alignment horizontal="right"/>
    </xf>
    <xf numFmtId="11" fontId="0" fillId="0" borderId="3" xfId="0" applyNumberFormat="1" applyBorder="1"/>
    <xf numFmtId="0" fontId="0" fillId="0" borderId="3" xfId="0" applyBorder="1" applyAlignment="1">
      <alignment horizontal="center" vertical="center"/>
    </xf>
    <xf numFmtId="170" fontId="0" fillId="2" borderId="3" xfId="0" applyNumberFormat="1" applyFill="1" applyBorder="1" applyAlignment="1">
      <alignment horizontal="center" vertical="center"/>
    </xf>
    <xf numFmtId="11" fontId="0" fillId="0" borderId="3" xfId="0" applyNumberFormat="1" applyBorder="1" applyAlignment="1">
      <alignment horizontal="right"/>
    </xf>
    <xf numFmtId="172" fontId="0" fillId="0" borderId="0" xfId="0" applyNumberFormat="1"/>
    <xf numFmtId="2" fontId="0" fillId="2" borderId="3" xfId="0" applyNumberFormat="1" applyFill="1" applyBorder="1" applyAlignment="1">
      <alignment horizontal="center" vertical="center"/>
    </xf>
    <xf numFmtId="0" fontId="0" fillId="0" borderId="6" xfId="0" applyBorder="1"/>
    <xf numFmtId="0" fontId="0" fillId="0" borderId="1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171" fontId="0" fillId="4" borderId="3" xfId="0" applyNumberFormat="1" applyFill="1" applyBorder="1" applyAlignment="1">
      <alignment horizontal="center" vertical="center"/>
    </xf>
    <xf numFmtId="11" fontId="0" fillId="4" borderId="3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13" xfId="0" applyBorder="1" applyAlignment="1">
      <alignment horizontal="center" vertical="center"/>
    </xf>
    <xf numFmtId="165" fontId="0" fillId="2" borderId="7" xfId="0" applyNumberFormat="1" applyFill="1" applyBorder="1" applyAlignment="1">
      <alignment horizontal="center" vertical="center"/>
    </xf>
    <xf numFmtId="0" fontId="0" fillId="0" borderId="1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9" fontId="0" fillId="0" borderId="10" xfId="2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0" fontId="0" fillId="0" borderId="0" xfId="2" applyNumberFormat="1" applyFont="1"/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0" fillId="0" borderId="25" xfId="0" applyBorder="1" applyAlignment="1">
      <alignment horizontal="center" vertical="center"/>
    </xf>
    <xf numFmtId="165" fontId="0" fillId="0" borderId="3" xfId="0" applyNumberFormat="1" applyBorder="1" applyAlignment="1">
      <alignment horizontal="center" vertical="center"/>
    </xf>
    <xf numFmtId="165" fontId="0" fillId="0" borderId="7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0" fontId="0" fillId="0" borderId="9" xfId="2" applyNumberFormat="1" applyFont="1" applyBorder="1" applyAlignment="1">
      <alignment horizontal="center" vertical="center"/>
    </xf>
    <xf numFmtId="10" fontId="0" fillId="0" borderId="10" xfId="2" applyNumberFormat="1" applyFont="1" applyBorder="1" applyAlignment="1">
      <alignment horizontal="center" vertical="center"/>
    </xf>
    <xf numFmtId="164" fontId="0" fillId="0" borderId="6" xfId="0" applyNumberFormat="1" applyBorder="1" applyAlignment="1">
      <alignment horizontal="center" vertical="center"/>
    </xf>
    <xf numFmtId="10" fontId="0" fillId="0" borderId="3" xfId="2" applyNumberFormat="1" applyFont="1" applyBorder="1" applyAlignment="1">
      <alignment horizontal="center" vertical="center"/>
    </xf>
    <xf numFmtId="10" fontId="0" fillId="0" borderId="8" xfId="0" applyNumberFormat="1" applyBorder="1" applyAlignment="1">
      <alignment horizontal="center" vertical="center"/>
    </xf>
    <xf numFmtId="10" fontId="0" fillId="0" borderId="9" xfId="0" applyNumberFormat="1" applyBorder="1" applyAlignment="1">
      <alignment horizontal="center" vertical="center"/>
    </xf>
    <xf numFmtId="10" fontId="0" fillId="0" borderId="10" xfId="0" applyNumberFormat="1" applyBorder="1" applyAlignment="1">
      <alignment horizontal="center" vertical="center"/>
    </xf>
    <xf numFmtId="165" fontId="0" fillId="0" borderId="9" xfId="0" applyNumberFormat="1" applyBorder="1" applyAlignment="1">
      <alignment horizontal="center" vertical="center"/>
    </xf>
    <xf numFmtId="165" fontId="0" fillId="0" borderId="10" xfId="0" applyNumberFormat="1" applyBorder="1" applyAlignment="1">
      <alignment horizontal="center" vertical="center"/>
    </xf>
    <xf numFmtId="164" fontId="0" fillId="0" borderId="9" xfId="0" applyNumberForma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0" fontId="0" fillId="0" borderId="14" xfId="2" applyNumberFormat="1" applyFont="1" applyBorder="1" applyAlignment="1">
      <alignment horizontal="center" vertical="center"/>
    </xf>
    <xf numFmtId="165" fontId="0" fillId="2" borderId="9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/>
    </xf>
    <xf numFmtId="10" fontId="0" fillId="2" borderId="3" xfId="2" applyNumberFormat="1" applyFont="1" applyFill="1" applyBorder="1" applyAlignment="1">
      <alignment horizontal="center" vertical="center"/>
    </xf>
    <xf numFmtId="9" fontId="0" fillId="0" borderId="3" xfId="2" applyFont="1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11" fontId="0" fillId="0" borderId="3" xfId="0" applyNumberFormat="1" applyBorder="1" applyAlignment="1">
      <alignment horizontal="center" vertical="center"/>
    </xf>
    <xf numFmtId="165" fontId="0" fillId="2" borderId="3" xfId="0" applyNumberFormat="1" applyFill="1" applyBorder="1" applyAlignment="1">
      <alignment horizontal="center" vertical="center"/>
    </xf>
    <xf numFmtId="11" fontId="0" fillId="3" borderId="3" xfId="0" applyNumberFormat="1" applyFill="1" applyBorder="1" applyAlignment="1">
      <alignment horizontal="center" vertical="center"/>
    </xf>
    <xf numFmtId="165" fontId="0" fillId="3" borderId="3" xfId="0" applyNumberFormat="1" applyFill="1" applyBorder="1" applyAlignment="1">
      <alignment horizontal="center" vertical="center"/>
    </xf>
    <xf numFmtId="165" fontId="0" fillId="5" borderId="3" xfId="0" applyNumberFormat="1" applyFill="1" applyBorder="1" applyAlignment="1">
      <alignment horizontal="center" vertical="center"/>
    </xf>
    <xf numFmtId="11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64" fontId="0" fillId="4" borderId="3" xfId="0" applyNumberFormat="1" applyFill="1" applyBorder="1" applyAlignment="1">
      <alignment horizontal="center" vertical="center"/>
    </xf>
    <xf numFmtId="165" fontId="0" fillId="4" borderId="3" xfId="0" applyNumberForma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168" fontId="0" fillId="0" borderId="6" xfId="0" applyNumberForma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0" fontId="0" fillId="0" borderId="6" xfId="0" applyNumberFormat="1" applyBorder="1" applyAlignment="1">
      <alignment horizontal="center" vertical="center"/>
    </xf>
    <xf numFmtId="10" fontId="0" fillId="0" borderId="3" xfId="0" applyNumberFormat="1" applyBorder="1" applyAlignment="1">
      <alignment horizontal="center" vertical="center"/>
    </xf>
    <xf numFmtId="1" fontId="0" fillId="0" borderId="6" xfId="0" applyNumberFormat="1" applyBorder="1" applyAlignment="1">
      <alignment horizontal="center" vertical="center"/>
    </xf>
    <xf numFmtId="172" fontId="0" fillId="0" borderId="3" xfId="0" applyNumberForma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0" xfId="0" applyAlignment="1">
      <alignment wrapText="1"/>
    </xf>
    <xf numFmtId="10" fontId="0" fillId="0" borderId="7" xfId="0" applyNumberFormat="1" applyBorder="1" applyAlignment="1">
      <alignment horizontal="center" vertical="center"/>
    </xf>
    <xf numFmtId="173" fontId="0" fillId="2" borderId="17" xfId="0" applyNumberFormat="1" applyFill="1" applyBorder="1" applyAlignment="1">
      <alignment horizontal="center" vertical="center"/>
    </xf>
    <xf numFmtId="0" fontId="0" fillId="4" borderId="15" xfId="0" applyFill="1" applyBorder="1" applyAlignment="1">
      <alignment horizontal="center" vertical="center"/>
    </xf>
    <xf numFmtId="165" fontId="0" fillId="2" borderId="17" xfId="0" applyNumberFormat="1" applyFill="1" applyBorder="1" applyAlignment="1">
      <alignment horizontal="center" vertical="center"/>
    </xf>
    <xf numFmtId="10" fontId="0" fillId="2" borderId="7" xfId="0" applyNumberFormat="1" applyFill="1" applyBorder="1" applyAlignment="1">
      <alignment horizontal="center" vertical="center"/>
    </xf>
    <xf numFmtId="10" fontId="0" fillId="2" borderId="10" xfId="0" applyNumberFormat="1" applyFill="1" applyBorder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10" fontId="0" fillId="2" borderId="16" xfId="0" applyNumberFormat="1" applyFill="1" applyBorder="1" applyAlignment="1">
      <alignment horizontal="center" vertical="center"/>
    </xf>
    <xf numFmtId="10" fontId="0" fillId="2" borderId="17" xfId="0" applyNumberFormat="1" applyFill="1" applyBorder="1" applyAlignment="1">
      <alignment horizontal="center" vertical="center"/>
    </xf>
    <xf numFmtId="9" fontId="0" fillId="0" borderId="5" xfId="2" applyFont="1" applyFill="1" applyBorder="1" applyAlignment="1">
      <alignment horizontal="center" vertical="center"/>
    </xf>
    <xf numFmtId="10" fontId="0" fillId="4" borderId="14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9" fontId="0" fillId="0" borderId="6" xfId="2" applyFont="1" applyBorder="1" applyAlignment="1">
      <alignment horizontal="center" vertical="center"/>
    </xf>
    <xf numFmtId="9" fontId="0" fillId="0" borderId="8" xfId="2" applyFont="1" applyBorder="1" applyAlignment="1">
      <alignment horizontal="center" vertical="center"/>
    </xf>
    <xf numFmtId="9" fontId="0" fillId="0" borderId="9" xfId="2" applyFont="1" applyBorder="1" applyAlignment="1">
      <alignment horizontal="center" vertical="center"/>
    </xf>
    <xf numFmtId="9" fontId="0" fillId="2" borderId="7" xfId="2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164" fontId="0" fillId="2" borderId="3" xfId="0" applyNumberFormat="1" applyFill="1" applyBorder="1" applyAlignment="1">
      <alignment horizontal="center" vertical="center"/>
    </xf>
    <xf numFmtId="0" fontId="10" fillId="0" borderId="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164" fontId="0" fillId="0" borderId="3" xfId="0" applyNumberFormat="1" applyBorder="1" applyAlignment="1">
      <alignment horizontal="left" vertical="center"/>
    </xf>
    <xf numFmtId="164" fontId="0" fillId="0" borderId="0" xfId="0" applyNumberFormat="1" applyAlignment="1">
      <alignment horizontal="center" vertical="center"/>
    </xf>
    <xf numFmtId="11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4" fontId="1" fillId="0" borderId="0" xfId="1" applyNumberFormat="1" applyAlignment="1">
      <alignment horizontal="left" vertical="center"/>
    </xf>
    <xf numFmtId="11" fontId="0" fillId="0" borderId="9" xfId="0" applyNumberFormat="1" applyBorder="1" applyAlignment="1">
      <alignment horizontal="center" vertical="center"/>
    </xf>
    <xf numFmtId="9" fontId="0" fillId="0" borderId="15" xfId="2" applyFont="1" applyBorder="1" applyAlignment="1">
      <alignment horizontal="center" vertical="center"/>
    </xf>
    <xf numFmtId="165" fontId="0" fillId="4" borderId="16" xfId="0" applyNumberFormat="1" applyFill="1" applyBorder="1" applyAlignment="1">
      <alignment horizontal="center" vertical="center"/>
    </xf>
    <xf numFmtId="165" fontId="0" fillId="2" borderId="16" xfId="0" applyNumberFormat="1" applyFill="1" applyBorder="1" applyAlignment="1">
      <alignment horizontal="center" vertical="center"/>
    </xf>
    <xf numFmtId="11" fontId="0" fillId="2" borderId="16" xfId="0" applyNumberFormat="1" applyFill="1" applyBorder="1" applyAlignment="1">
      <alignment horizontal="center" vertical="center"/>
    </xf>
    <xf numFmtId="11" fontId="0" fillId="2" borderId="17" xfId="0" applyNumberFormat="1" applyFill="1" applyBorder="1" applyAlignment="1">
      <alignment horizontal="center" vertical="center"/>
    </xf>
    <xf numFmtId="9" fontId="0" fillId="4" borderId="15" xfId="2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0" borderId="9" xfId="1" applyFill="1" applyBorder="1" applyAlignment="1">
      <alignment horizontal="center" vertical="center"/>
    </xf>
    <xf numFmtId="2" fontId="0" fillId="2" borderId="7" xfId="0" applyNumberFormat="1" applyFill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172" fontId="0" fillId="0" borderId="0" xfId="0" applyNumberFormat="1" applyAlignment="1">
      <alignment horizontal="center" vertical="center"/>
    </xf>
    <xf numFmtId="165" fontId="0" fillId="8" borderId="16" xfId="0" applyNumberFormat="1" applyFill="1" applyBorder="1" applyAlignment="1">
      <alignment horizontal="center" vertical="center"/>
    </xf>
    <xf numFmtId="165" fontId="0" fillId="8" borderId="17" xfId="0" applyNumberFormat="1" applyFill="1" applyBorder="1" applyAlignment="1">
      <alignment horizontal="center" vertical="center"/>
    </xf>
    <xf numFmtId="0" fontId="0" fillId="0" borderId="8" xfId="0" applyBorder="1" applyAlignment="1">
      <alignment horizontal="left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2" fontId="0" fillId="2" borderId="9" xfId="0" applyNumberForma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170" fontId="0" fillId="2" borderId="9" xfId="0" applyNumberFormat="1" applyFill="1" applyBorder="1" applyAlignment="1">
      <alignment horizontal="center" vertical="center"/>
    </xf>
    <xf numFmtId="2" fontId="0" fillId="0" borderId="6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164" fontId="0" fillId="4" borderId="7" xfId="0" applyNumberFormat="1" applyFill="1" applyBorder="1" applyAlignment="1">
      <alignment horizontal="center" vertical="center"/>
    </xf>
    <xf numFmtId="171" fontId="0" fillId="4" borderId="7" xfId="0" applyNumberFormat="1" applyFill="1" applyBorder="1" applyAlignment="1">
      <alignment horizontal="center" vertical="center"/>
    </xf>
    <xf numFmtId="164" fontId="0" fillId="4" borderId="9" xfId="0" applyNumberFormat="1" applyFill="1" applyBorder="1" applyAlignment="1">
      <alignment horizontal="center" vertical="center"/>
    </xf>
    <xf numFmtId="164" fontId="0" fillId="4" borderId="10" xfId="0" applyNumberFormat="1" applyFill="1" applyBorder="1" applyAlignment="1">
      <alignment horizontal="center" vertical="center"/>
    </xf>
    <xf numFmtId="10" fontId="0" fillId="3" borderId="3" xfId="2" applyNumberFormat="1" applyFont="1" applyFill="1" applyBorder="1" applyAlignment="1">
      <alignment horizontal="center" vertical="center"/>
    </xf>
    <xf numFmtId="10" fontId="0" fillId="3" borderId="6" xfId="2" applyNumberFormat="1" applyFont="1" applyFill="1" applyBorder="1" applyAlignment="1">
      <alignment horizontal="center" vertical="center"/>
    </xf>
    <xf numFmtId="10" fontId="0" fillId="3" borderId="8" xfId="2" applyNumberFormat="1" applyFont="1" applyFill="1" applyBorder="1" applyAlignment="1">
      <alignment horizontal="center" vertical="center"/>
    </xf>
    <xf numFmtId="10" fontId="0" fillId="3" borderId="9" xfId="2" applyNumberFormat="1" applyFont="1" applyFill="1" applyBorder="1" applyAlignment="1">
      <alignment horizontal="center" vertical="center"/>
    </xf>
    <xf numFmtId="165" fontId="0" fillId="4" borderId="7" xfId="0" applyNumberFormat="1" applyFill="1" applyBorder="1" applyAlignment="1">
      <alignment horizontal="center" vertical="center"/>
    </xf>
    <xf numFmtId="11" fontId="0" fillId="4" borderId="7" xfId="0" applyNumberFormat="1" applyFill="1" applyBorder="1" applyAlignment="1">
      <alignment horizontal="center" vertical="center"/>
    </xf>
    <xf numFmtId="165" fontId="0" fillId="4" borderId="9" xfId="0" applyNumberFormat="1" applyFill="1" applyBorder="1" applyAlignment="1">
      <alignment horizontal="center" vertical="center"/>
    </xf>
    <xf numFmtId="165" fontId="0" fillId="4" borderId="10" xfId="0" applyNumberForma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8" fontId="0" fillId="2" borderId="3" xfId="0" applyNumberFormat="1" applyFill="1" applyBorder="1" applyAlignment="1">
      <alignment horizontal="center" vertical="center"/>
    </xf>
    <xf numFmtId="0" fontId="10" fillId="0" borderId="6" xfId="0" applyFont="1" applyBorder="1" applyAlignment="1">
      <alignment horizontal="left" vertical="center"/>
    </xf>
    <xf numFmtId="164" fontId="0" fillId="0" borderId="6" xfId="0" applyNumberFormat="1" applyBorder="1" applyAlignment="1">
      <alignment horizontal="left" vertical="center"/>
    </xf>
    <xf numFmtId="0" fontId="2" fillId="0" borderId="9" xfId="0" applyFont="1" applyBorder="1" applyAlignment="1">
      <alignment horizontal="center" vertical="center"/>
    </xf>
    <xf numFmtId="0" fontId="0" fillId="0" borderId="21" xfId="0" applyBorder="1" applyAlignment="1">
      <alignment horizontal="left" vertical="center"/>
    </xf>
    <xf numFmtId="164" fontId="0" fillId="2" borderId="22" xfId="0" applyNumberFormat="1" applyFill="1" applyBorder="1" applyAlignment="1">
      <alignment horizontal="center" vertical="center"/>
    </xf>
    <xf numFmtId="164" fontId="0" fillId="2" borderId="23" xfId="0" applyNumberFormat="1" applyFill="1" applyBorder="1" applyAlignment="1">
      <alignment horizontal="center" vertical="center"/>
    </xf>
    <xf numFmtId="2" fontId="0" fillId="0" borderId="31" xfId="0" applyNumberFormat="1" applyBorder="1" applyAlignment="1">
      <alignment horizontal="center" vertical="center"/>
    </xf>
    <xf numFmtId="2" fontId="0" fillId="0" borderId="11" xfId="0" applyNumberFormat="1" applyBorder="1" applyAlignment="1">
      <alignment horizontal="center" vertical="center"/>
    </xf>
    <xf numFmtId="10" fontId="0" fillId="0" borderId="11" xfId="0" applyNumberFormat="1" applyBorder="1" applyAlignment="1">
      <alignment horizontal="center" vertical="center"/>
    </xf>
    <xf numFmtId="10" fontId="0" fillId="0" borderId="12" xfId="0" applyNumberFormat="1" applyBorder="1" applyAlignment="1">
      <alignment horizontal="center" vertical="center"/>
    </xf>
    <xf numFmtId="0" fontId="0" fillId="2" borderId="6" xfId="0" applyFill="1" applyBorder="1" applyAlignment="1">
      <alignment horizontal="left" vertical="center"/>
    </xf>
    <xf numFmtId="0" fontId="0" fillId="2" borderId="8" xfId="0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10" fillId="2" borderId="13" xfId="0" applyFont="1" applyFill="1" applyBorder="1" applyAlignment="1">
      <alignment horizontal="center" vertical="center"/>
    </xf>
    <xf numFmtId="0" fontId="0" fillId="2" borderId="25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4" fontId="0" fillId="2" borderId="6" xfId="0" applyNumberFormat="1" applyFill="1" applyBorder="1" applyAlignment="1">
      <alignment horizontal="left" vertical="center"/>
    </xf>
    <xf numFmtId="164" fontId="0" fillId="2" borderId="1" xfId="0" applyNumberFormat="1" applyFill="1" applyBorder="1" applyAlignment="1">
      <alignment horizontal="center" vertical="center"/>
    </xf>
    <xf numFmtId="10" fontId="0" fillId="2" borderId="1" xfId="0" applyNumberForma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26" xfId="0" applyFont="1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169" fontId="0" fillId="0" borderId="9" xfId="0" applyNumberFormat="1" applyBorder="1" applyAlignment="1">
      <alignment horizontal="center" vertical="center"/>
    </xf>
    <xf numFmtId="169" fontId="0" fillId="0" borderId="10" xfId="0" applyNumberForma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16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2" fontId="0" fillId="0" borderId="13" xfId="0" applyNumberFormat="1" applyBorder="1" applyAlignment="1">
      <alignment horizontal="center" vertical="center"/>
    </xf>
    <xf numFmtId="2" fontId="0" fillId="0" borderId="9" xfId="0" applyNumberFormat="1" applyBorder="1" applyAlignment="1">
      <alignment horizontal="center" vertical="center"/>
    </xf>
    <xf numFmtId="0" fontId="14" fillId="9" borderId="13" xfId="0" applyFont="1" applyFill="1" applyBorder="1" applyAlignment="1">
      <alignment horizontal="center" vertical="center"/>
    </xf>
    <xf numFmtId="0" fontId="0" fillId="9" borderId="13" xfId="0" applyFill="1" applyBorder="1" applyAlignment="1">
      <alignment horizontal="center" vertical="center"/>
    </xf>
    <xf numFmtId="0" fontId="14" fillId="9" borderId="14" xfId="0" applyFont="1" applyFill="1" applyBorder="1" applyAlignment="1">
      <alignment horizontal="center" vertical="center"/>
    </xf>
    <xf numFmtId="0" fontId="0" fillId="9" borderId="6" xfId="0" applyFill="1" applyBorder="1" applyAlignment="1">
      <alignment horizontal="center" vertical="center"/>
    </xf>
    <xf numFmtId="165" fontId="14" fillId="9" borderId="3" xfId="0" applyNumberFormat="1" applyFont="1" applyFill="1" applyBorder="1" applyAlignment="1">
      <alignment horizontal="center" vertical="center"/>
    </xf>
    <xf numFmtId="165" fontId="14" fillId="9" borderId="7" xfId="0" applyNumberFormat="1" applyFont="1" applyFill="1" applyBorder="1" applyAlignment="1">
      <alignment horizontal="center" vertical="center"/>
    </xf>
    <xf numFmtId="0" fontId="0" fillId="9" borderId="8" xfId="0" applyFill="1" applyBorder="1" applyAlignment="1">
      <alignment horizontal="center" vertical="center"/>
    </xf>
    <xf numFmtId="165" fontId="14" fillId="9" borderId="9" xfId="0" applyNumberFormat="1" applyFont="1" applyFill="1" applyBorder="1" applyAlignment="1">
      <alignment horizontal="center" vertical="center"/>
    </xf>
    <xf numFmtId="165" fontId="14" fillId="9" borderId="10" xfId="0" applyNumberFormat="1" applyFont="1" applyFill="1" applyBorder="1" applyAlignment="1">
      <alignment horizontal="center" vertical="center"/>
    </xf>
    <xf numFmtId="10" fontId="0" fillId="9" borderId="3" xfId="2" applyNumberFormat="1" applyFont="1" applyFill="1" applyBorder="1" applyAlignment="1">
      <alignment horizontal="center" vertical="center"/>
    </xf>
    <xf numFmtId="10" fontId="0" fillId="9" borderId="9" xfId="2" applyNumberFormat="1" applyFont="1" applyFill="1" applyBorder="1" applyAlignment="1">
      <alignment horizontal="center" vertical="center"/>
    </xf>
    <xf numFmtId="0" fontId="0" fillId="0" borderId="5" xfId="0" applyBorder="1"/>
    <xf numFmtId="0" fontId="0" fillId="0" borderId="13" xfId="0" applyBorder="1"/>
    <xf numFmtId="172" fontId="0" fillId="0" borderId="14" xfId="0" applyNumberFormat="1" applyBorder="1" applyAlignment="1">
      <alignment horizontal="center" vertical="center"/>
    </xf>
    <xf numFmtId="172" fontId="0" fillId="0" borderId="7" xfId="0" applyNumberFormat="1" applyBorder="1" applyAlignment="1">
      <alignment horizontal="center" vertical="center"/>
    </xf>
    <xf numFmtId="0" fontId="0" fillId="0" borderId="8" xfId="0" applyBorder="1"/>
    <xf numFmtId="0" fontId="0" fillId="0" borderId="9" xfId="0" applyBorder="1"/>
    <xf numFmtId="172" fontId="0" fillId="0" borderId="10" xfId="0" applyNumberFormat="1" applyBorder="1" applyAlignment="1">
      <alignment horizontal="center" vertical="center"/>
    </xf>
    <xf numFmtId="165" fontId="14" fillId="9" borderId="3" xfId="0" applyNumberFormat="1" applyFont="1" applyFill="1" applyBorder="1" applyAlignment="1">
      <alignment horizontal="center" vertical="center" wrapText="1"/>
    </xf>
    <xf numFmtId="165" fontId="14" fillId="9" borderId="9" xfId="0" applyNumberFormat="1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15" xfId="0" applyBorder="1" applyAlignment="1">
      <alignment horizontal="center" vertical="center" wrapText="1"/>
    </xf>
    <xf numFmtId="165" fontId="14" fillId="9" borderId="13" xfId="0" applyNumberFormat="1" applyFont="1" applyFill="1" applyBorder="1" applyAlignment="1">
      <alignment horizontal="center" vertical="center" wrapText="1"/>
    </xf>
    <xf numFmtId="165" fontId="14" fillId="9" borderId="16" xfId="0" applyNumberFormat="1" applyFont="1" applyFill="1" applyBorder="1" applyAlignment="1">
      <alignment horizontal="center" vertical="center" wrapText="1"/>
    </xf>
    <xf numFmtId="168" fontId="0" fillId="0" borderId="8" xfId="0" applyNumberFormat="1" applyBorder="1" applyAlignment="1">
      <alignment horizontal="center" vertical="center"/>
    </xf>
    <xf numFmtId="1" fontId="0" fillId="0" borderId="9" xfId="0" applyNumberFormat="1" applyBorder="1" applyAlignment="1">
      <alignment horizontal="center" vertical="center"/>
    </xf>
    <xf numFmtId="165" fontId="10" fillId="2" borderId="7" xfId="0" applyNumberFormat="1" applyFont="1" applyFill="1" applyBorder="1" applyAlignment="1">
      <alignment horizontal="center" vertical="center"/>
    </xf>
    <xf numFmtId="170" fontId="0" fillId="0" borderId="3" xfId="0" applyNumberFormat="1" applyBorder="1" applyAlignment="1">
      <alignment horizontal="center" vertical="center"/>
    </xf>
    <xf numFmtId="170" fontId="0" fillId="0" borderId="7" xfId="0" applyNumberFormat="1" applyBorder="1" applyAlignment="1">
      <alignment horizontal="center" vertical="center"/>
    </xf>
    <xf numFmtId="170" fontId="0" fillId="0" borderId="9" xfId="0" applyNumberFormat="1" applyBorder="1" applyAlignment="1">
      <alignment horizontal="center" vertical="center"/>
    </xf>
    <xf numFmtId="170" fontId="0" fillId="0" borderId="10" xfId="0" applyNumberFormat="1" applyBorder="1" applyAlignment="1">
      <alignment horizontal="center" vertical="center"/>
    </xf>
    <xf numFmtId="172" fontId="0" fillId="0" borderId="9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9" xfId="0" applyNumberFormat="1" applyBorder="1" applyAlignment="1">
      <alignment horizontal="center" vertical="center"/>
    </xf>
    <xf numFmtId="1" fontId="0" fillId="0" borderId="8" xfId="0" applyNumberFormat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2" fontId="0" fillId="0" borderId="0" xfId="0" applyNumberFormat="1"/>
    <xf numFmtId="165" fontId="0" fillId="0" borderId="3" xfId="0" applyNumberFormat="1" applyBorder="1" applyAlignment="1">
      <alignment horizontal="center" vertical="center"/>
    </xf>
    <xf numFmtId="165" fontId="0" fillId="0" borderId="7" xfId="0" applyNumberFormat="1" applyBorder="1" applyAlignment="1">
      <alignment horizontal="center" vertical="center"/>
    </xf>
    <xf numFmtId="164" fontId="0" fillId="0" borderId="3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0" fontId="0" fillId="0" borderId="3" xfId="2" applyNumberFormat="1" applyFont="1" applyBorder="1" applyAlignment="1">
      <alignment horizontal="center" vertical="center"/>
    </xf>
    <xf numFmtId="10" fontId="0" fillId="0" borderId="7" xfId="2" applyNumberFormat="1" applyFont="1" applyBorder="1" applyAlignment="1">
      <alignment horizontal="center" vertical="center"/>
    </xf>
    <xf numFmtId="10" fontId="0" fillId="0" borderId="3" xfId="0" applyNumberFormat="1" applyBorder="1" applyAlignment="1">
      <alignment horizontal="center" vertical="center"/>
    </xf>
    <xf numFmtId="10" fontId="0" fillId="0" borderId="7" xfId="0" applyNumberFormat="1" applyBorder="1" applyAlignment="1">
      <alignment horizontal="center" vertical="center"/>
    </xf>
    <xf numFmtId="165" fontId="0" fillId="0" borderId="9" xfId="0" applyNumberFormat="1" applyBorder="1" applyAlignment="1">
      <alignment horizontal="center" vertical="center"/>
    </xf>
    <xf numFmtId="165" fontId="0" fillId="0" borderId="10" xfId="0" applyNumberFormat="1" applyBorder="1" applyAlignment="1">
      <alignment horizontal="center" vertical="center"/>
    </xf>
    <xf numFmtId="165" fontId="0" fillId="2" borderId="13" xfId="0" applyNumberFormat="1" applyFill="1" applyBorder="1" applyAlignment="1">
      <alignment horizontal="center" vertical="center"/>
    </xf>
    <xf numFmtId="165" fontId="0" fillId="2" borderId="14" xfId="0" applyNumberFormat="1" applyFill="1" applyBorder="1" applyAlignment="1">
      <alignment horizontal="center" vertical="center"/>
    </xf>
    <xf numFmtId="165" fontId="0" fillId="2" borderId="3" xfId="0" applyNumberFormat="1" applyFill="1" applyBorder="1" applyAlignment="1">
      <alignment horizontal="center" vertical="center"/>
    </xf>
    <xf numFmtId="165" fontId="0" fillId="2" borderId="7" xfId="0" applyNumberFormat="1" applyFill="1" applyBorder="1" applyAlignment="1">
      <alignment horizontal="center" vertical="center"/>
    </xf>
    <xf numFmtId="165" fontId="0" fillId="0" borderId="13" xfId="0" applyNumberFormat="1" applyBorder="1" applyAlignment="1">
      <alignment horizontal="center" vertical="center"/>
    </xf>
    <xf numFmtId="165" fontId="0" fillId="0" borderId="14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9" fontId="0" fillId="0" borderId="3" xfId="2" applyFont="1" applyBorder="1" applyAlignment="1">
      <alignment horizontal="center" vertical="center"/>
    </xf>
    <xf numFmtId="9" fontId="0" fillId="0" borderId="7" xfId="2" applyFont="1" applyBorder="1" applyAlignment="1">
      <alignment horizontal="center" vertical="center"/>
    </xf>
    <xf numFmtId="11" fontId="0" fillId="0" borderId="3" xfId="0" applyNumberFormat="1" applyBorder="1" applyAlignment="1">
      <alignment horizontal="center" vertical="center"/>
    </xf>
    <xf numFmtId="11" fontId="0" fillId="0" borderId="7" xfId="0" applyNumberFormat="1" applyBorder="1" applyAlignment="1">
      <alignment horizontal="center" vertical="center"/>
    </xf>
    <xf numFmtId="165" fontId="0" fillId="2" borderId="9" xfId="0" applyNumberFormat="1" applyFill="1" applyBorder="1" applyAlignment="1">
      <alignment horizontal="center" vertical="center"/>
    </xf>
    <xf numFmtId="165" fontId="0" fillId="2" borderId="10" xfId="0" applyNumberFormat="1" applyFill="1" applyBorder="1" applyAlignment="1">
      <alignment horizontal="center" vertical="center"/>
    </xf>
    <xf numFmtId="10" fontId="0" fillId="2" borderId="3" xfId="2" applyNumberFormat="1" applyFont="1" applyFill="1" applyBorder="1" applyAlignment="1">
      <alignment horizontal="center" vertical="center"/>
    </xf>
    <xf numFmtId="10" fontId="0" fillId="2" borderId="7" xfId="2" applyNumberFormat="1" applyFont="1" applyFill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14" xfId="0" applyNumberFormat="1" applyBorder="1" applyAlignment="1">
      <alignment horizontal="center" vertical="center"/>
    </xf>
    <xf numFmtId="165" fontId="0" fillId="3" borderId="3" xfId="0" applyNumberFormat="1" applyFill="1" applyBorder="1" applyAlignment="1">
      <alignment horizontal="center" vertical="center"/>
    </xf>
    <xf numFmtId="165" fontId="0" fillId="5" borderId="3" xfId="0" applyNumberFormat="1" applyFill="1" applyBorder="1" applyAlignment="1">
      <alignment horizontal="center" vertical="center"/>
    </xf>
    <xf numFmtId="167" fontId="0" fillId="2" borderId="3" xfId="0" applyNumberFormat="1" applyFill="1" applyBorder="1" applyAlignment="1">
      <alignment horizontal="center" vertical="center"/>
    </xf>
    <xf numFmtId="0" fontId="0" fillId="5" borderId="3" xfId="0" applyFill="1" applyBorder="1" applyAlignment="1">
      <alignment horizontal="center" vertical="center"/>
    </xf>
    <xf numFmtId="9" fontId="0" fillId="0" borderId="3" xfId="2" applyFont="1" applyFill="1" applyBorder="1" applyAlignment="1">
      <alignment horizontal="center" vertical="center"/>
    </xf>
    <xf numFmtId="165" fontId="10" fillId="5" borderId="3" xfId="0" applyNumberFormat="1" applyFont="1" applyFill="1" applyBorder="1" applyAlignment="1">
      <alignment horizontal="center" vertical="center"/>
    </xf>
    <xf numFmtId="165" fontId="10" fillId="2" borderId="3" xfId="0" applyNumberFormat="1" applyFont="1" applyFill="1" applyBorder="1" applyAlignment="1">
      <alignment horizontal="center" vertical="center"/>
    </xf>
    <xf numFmtId="167" fontId="0" fillId="5" borderId="3" xfId="0" applyNumberFormat="1" applyFill="1" applyBorder="1" applyAlignment="1">
      <alignment horizontal="center" vertical="center"/>
    </xf>
    <xf numFmtId="167" fontId="0" fillId="0" borderId="3" xfId="0" applyNumberFormat="1" applyBorder="1" applyAlignment="1">
      <alignment horizontal="center" vertical="center"/>
    </xf>
    <xf numFmtId="11" fontId="0" fillId="2" borderId="3" xfId="0" applyNumberFormat="1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0" fontId="0" fillId="3" borderId="3" xfId="0" applyNumberFormat="1" applyFill="1" applyBorder="1" applyAlignment="1">
      <alignment horizontal="center" vertical="center"/>
    </xf>
    <xf numFmtId="165" fontId="0" fillId="6" borderId="3" xfId="0" applyNumberFormat="1" applyFill="1" applyBorder="1" applyAlignment="1">
      <alignment horizontal="center" vertical="center"/>
    </xf>
    <xf numFmtId="11" fontId="0" fillId="6" borderId="3" xfId="0" applyNumberFormat="1" applyFill="1" applyBorder="1" applyAlignment="1">
      <alignment horizontal="center" vertical="center"/>
    </xf>
    <xf numFmtId="11" fontId="0" fillId="3" borderId="3" xfId="0" applyNumberFormat="1" applyFill="1" applyBorder="1" applyAlignment="1">
      <alignment horizontal="center" vertical="center"/>
    </xf>
    <xf numFmtId="0" fontId="0" fillId="7" borderId="3" xfId="0" applyFill="1" applyBorder="1" applyAlignment="1">
      <alignment horizontal="center"/>
    </xf>
    <xf numFmtId="0" fontId="0" fillId="7" borderId="28" xfId="0" applyFill="1" applyBorder="1" applyAlignment="1">
      <alignment horizontal="center"/>
    </xf>
    <xf numFmtId="0" fontId="0" fillId="7" borderId="29" xfId="0" applyFill="1" applyBorder="1" applyAlignment="1">
      <alignment horizontal="center"/>
    </xf>
    <xf numFmtId="0" fontId="0" fillId="7" borderId="30" xfId="0" applyFill="1" applyBorder="1" applyAlignment="1">
      <alignment horizontal="center"/>
    </xf>
    <xf numFmtId="0" fontId="0" fillId="7" borderId="3" xfId="0" applyFill="1" applyBorder="1" applyAlignment="1">
      <alignment horizontal="center" vertical="center"/>
    </xf>
    <xf numFmtId="165" fontId="0" fillId="5" borderId="3" xfId="2" applyNumberFormat="1" applyFont="1" applyFill="1" applyBorder="1" applyAlignment="1">
      <alignment horizontal="center" vertical="center"/>
    </xf>
    <xf numFmtId="165" fontId="0" fillId="2" borderId="3" xfId="2" applyNumberFormat="1" applyFont="1" applyFill="1" applyBorder="1" applyAlignment="1">
      <alignment horizontal="center" vertical="center"/>
    </xf>
    <xf numFmtId="9" fontId="0" fillId="5" borderId="3" xfId="2" applyFont="1" applyFill="1" applyBorder="1" applyAlignment="1">
      <alignment horizontal="center" vertical="center"/>
    </xf>
    <xf numFmtId="9" fontId="0" fillId="2" borderId="3" xfId="2" applyFont="1" applyFill="1" applyBorder="1" applyAlignment="1">
      <alignment horizontal="center" vertical="center"/>
    </xf>
    <xf numFmtId="167" fontId="0" fillId="3" borderId="3" xfId="0" applyNumberFormat="1" applyFill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14" xfId="0" applyNumberFormat="1" applyBorder="1" applyAlignment="1">
      <alignment horizontal="center" vertical="center"/>
    </xf>
    <xf numFmtId="164" fontId="0" fillId="0" borderId="37" xfId="0" applyNumberFormat="1" applyBorder="1" applyAlignment="1">
      <alignment horizontal="center" vertical="center"/>
    </xf>
    <xf numFmtId="164" fontId="0" fillId="0" borderId="34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0" fillId="0" borderId="32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9" borderId="3" xfId="0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/>
    </xf>
    <xf numFmtId="0" fontId="0" fillId="9" borderId="18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0" fillId="4" borderId="7" xfId="0" applyFill="1" applyBorder="1" applyAlignment="1">
      <alignment horizontal="center" vertical="center"/>
    </xf>
    <xf numFmtId="164" fontId="0" fillId="4" borderId="3" xfId="0" applyNumberFormat="1" applyFill="1" applyBorder="1" applyAlignment="1">
      <alignment horizontal="center" vertical="center"/>
    </xf>
    <xf numFmtId="164" fontId="0" fillId="4" borderId="7" xfId="0" applyNumberFormat="1" applyFill="1" applyBorder="1" applyAlignment="1">
      <alignment horizontal="center" vertical="center"/>
    </xf>
    <xf numFmtId="165" fontId="0" fillId="4" borderId="3" xfId="0" applyNumberFormat="1" applyFill="1" applyBorder="1" applyAlignment="1">
      <alignment horizontal="center" vertical="center"/>
    </xf>
    <xf numFmtId="165" fontId="0" fillId="4" borderId="7" xfId="0" applyNumberFormat="1" applyFill="1" applyBorder="1" applyAlignment="1">
      <alignment horizontal="center" vertical="center"/>
    </xf>
    <xf numFmtId="0" fontId="7" fillId="0" borderId="0" xfId="0" applyFont="1"/>
  </cellXfs>
  <cellStyles count="3">
    <cellStyle name="Hyperlänk" xfId="1" builtinId="8"/>
    <cellStyle name="Normal" xfId="0" builtinId="0"/>
    <cellStyle name="Procent" xfId="2" builtinId="5"/>
  </cellStyles>
  <dxfs count="0"/>
  <tableStyles count="0" defaultTableStyle="TableStyleMedium2" defaultPivotStyle="PivotStyleLight16"/>
  <colors>
    <mruColors>
      <color rgb="FFFF696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463866286787147E-2"/>
          <c:y val="3.0474652417741964E-2"/>
          <c:w val="0.81629639360773332"/>
          <c:h val="0.87937834071723175"/>
        </c:manualLayout>
      </c:layout>
      <c:scatterChart>
        <c:scatterStyle val="lineMarker"/>
        <c:varyColors val="0"/>
        <c:ser>
          <c:idx val="0"/>
          <c:order val="0"/>
          <c:tx>
            <c:v>Heat flux max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1"/>
            <c:marker>
              <c:symbol val="circle"/>
              <c:size val="5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0627-4BCD-A555-023E979CBF8C}"/>
              </c:ext>
            </c:extLst>
          </c:dPt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496704334552323"/>
                  <c:y val="4.1707482419638731E-2"/>
                </c:manualLayout>
              </c:layout>
              <c:numFmt formatCode="#,##0.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v-SE"/>
                </a:p>
              </c:txPr>
            </c:trendlineLbl>
          </c:trendline>
          <c:xVal>
            <c:numRef>
              <c:f>'q-Q'!$E$4:$E$7</c:f>
              <c:numCache>
                <c:formatCode>General</c:formatCode>
                <c:ptCount val="4"/>
                <c:pt idx="0" formatCode="0.0">
                  <c:v>3</c:v>
                </c:pt>
                <c:pt idx="1">
                  <c:v>3.3</c:v>
                </c:pt>
                <c:pt idx="2" formatCode="0.0">
                  <c:v>3.5</c:v>
                </c:pt>
                <c:pt idx="3" formatCode="0.0">
                  <c:v>3.8</c:v>
                </c:pt>
              </c:numCache>
            </c:numRef>
          </c:xVal>
          <c:yVal>
            <c:numRef>
              <c:f>'q-Q'!$F$4:$F$7</c:f>
              <c:numCache>
                <c:formatCode>General</c:formatCode>
                <c:ptCount val="4"/>
                <c:pt idx="0" formatCode="0">
                  <c:v>140</c:v>
                </c:pt>
                <c:pt idx="1">
                  <c:v>160</c:v>
                </c:pt>
                <c:pt idx="2" formatCode="0">
                  <c:v>166</c:v>
                </c:pt>
                <c:pt idx="3" formatCode="0">
                  <c:v>180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422-4B3B-87B3-D0CBC6799392}"/>
            </c:ext>
          </c:extLst>
        </c:ser>
        <c:ser>
          <c:idx val="1"/>
          <c:order val="1"/>
          <c:tx>
            <c:v>Heat flux average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Pt>
            <c:idx val="1"/>
            <c:marker>
              <c:symbol val="circle"/>
              <c:size val="5"/>
              <c:spPr>
                <a:solidFill>
                  <a:schemeClr val="accent2"/>
                </a:solidFill>
                <a:ln w="9525">
                  <a:solidFill>
                    <a:schemeClr val="accent2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0627-4BCD-A555-023E979CBF8C}"/>
              </c:ext>
            </c:extLst>
          </c:dPt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34827573331576228"/>
                  <c:y val="0.18157609419625612"/>
                </c:manualLayout>
              </c:layout>
              <c:numFmt formatCode="#,##0.0000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v-SE"/>
                </a:p>
              </c:txPr>
            </c:trendlineLbl>
          </c:trendline>
          <c:xVal>
            <c:numRef>
              <c:f>'q-Q'!$E$4:$E$7</c:f>
              <c:numCache>
                <c:formatCode>General</c:formatCode>
                <c:ptCount val="4"/>
                <c:pt idx="0" formatCode="0.0">
                  <c:v>3</c:v>
                </c:pt>
                <c:pt idx="1">
                  <c:v>3.3</c:v>
                </c:pt>
                <c:pt idx="2" formatCode="0.0">
                  <c:v>3.5</c:v>
                </c:pt>
                <c:pt idx="3" formatCode="0.0">
                  <c:v>3.8</c:v>
                </c:pt>
              </c:numCache>
            </c:numRef>
          </c:xVal>
          <c:yVal>
            <c:numRef>
              <c:f>'q-Q'!$G$4:$G$7</c:f>
              <c:numCache>
                <c:formatCode>0.000</c:formatCode>
                <c:ptCount val="4"/>
                <c:pt idx="0">
                  <c:v>87.5</c:v>
                </c:pt>
                <c:pt idx="1">
                  <c:v>100</c:v>
                </c:pt>
                <c:pt idx="2">
                  <c:v>103.75</c:v>
                </c:pt>
                <c:pt idx="3">
                  <c:v>112.5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422-4B3B-87B3-D0CBC67993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29604975"/>
        <c:axId val="2029581455"/>
      </c:scatterChart>
      <c:valAx>
        <c:axId val="2029604975"/>
        <c:scaling>
          <c:orientation val="minMax"/>
          <c:min val="2.8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Floor loading (MW/m</a:t>
                </a:r>
                <a:r>
                  <a:rPr lang="en-GB" baseline="30000"/>
                  <a:t>2</a:t>
                </a:r>
                <a:r>
                  <a:rPr lang="en-GB"/>
                  <a:t>)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2029581455"/>
        <c:crosses val="autoZero"/>
        <c:crossBetween val="midCat"/>
      </c:valAx>
      <c:valAx>
        <c:axId val="202958145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Heat flux furnace wall (kW/m</a:t>
                </a:r>
                <a:r>
                  <a:rPr lang="en-GB" baseline="30000"/>
                  <a:t>2</a:t>
                </a:r>
                <a:r>
                  <a:rPr lang="en-GB"/>
                  <a:t>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202960497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90266183880299622"/>
          <c:y val="0.3444663262185953"/>
          <c:w val="9.4557486883482617E-2"/>
          <c:h val="0.3582208700982554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52693975050872"/>
          <c:y val="4.0589403107995692E-2"/>
          <c:w val="0.73156610339437911"/>
          <c:h val="0.81313518183911526"/>
        </c:manualLayout>
      </c:layout>
      <c:scatterChart>
        <c:scatterStyle val="lineMarker"/>
        <c:varyColors val="0"/>
        <c:ser>
          <c:idx val="0"/>
          <c:order val="0"/>
          <c:tx>
            <c:v>304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'T-xd, CR-xd'!$D$4:$D$12</c:f>
              <c:numCache>
                <c:formatCode>0.00</c:formatCode>
                <c:ptCount val="9"/>
                <c:pt idx="0">
                  <c:v>0</c:v>
                </c:pt>
                <c:pt idx="1">
                  <c:v>24.999999999999996</c:v>
                </c:pt>
                <c:pt idx="2">
                  <c:v>49.999999999999993</c:v>
                </c:pt>
                <c:pt idx="3">
                  <c:v>75</c:v>
                </c:pt>
                <c:pt idx="4">
                  <c:v>99.999999999999986</c:v>
                </c:pt>
                <c:pt idx="5">
                  <c:v>125</c:v>
                </c:pt>
                <c:pt idx="6">
                  <c:v>150</c:v>
                </c:pt>
                <c:pt idx="7">
                  <c:v>174.99999999999997</c:v>
                </c:pt>
                <c:pt idx="8">
                  <c:v>199.99999999999997</c:v>
                </c:pt>
              </c:numCache>
            </c:numRef>
          </c:xVal>
          <c:yVal>
            <c:numRef>
              <c:f>'T-xd, CR-xd'!$I$4:$I$12</c:f>
              <c:numCache>
                <c:formatCode>0.000</c:formatCode>
                <c:ptCount val="9"/>
                <c:pt idx="0">
                  <c:v>0</c:v>
                </c:pt>
                <c:pt idx="1">
                  <c:v>8.2102422490266669E-2</c:v>
                </c:pt>
                <c:pt idx="2">
                  <c:v>0.21747817456849639</c:v>
                </c:pt>
                <c:pt idx="3">
                  <c:v>0.34895529697507577</c:v>
                </c:pt>
                <c:pt idx="4">
                  <c:v>0.47653378971000215</c:v>
                </c:pt>
                <c:pt idx="5">
                  <c:v>0.60021365277327732</c:v>
                </c:pt>
                <c:pt idx="6">
                  <c:v>0.71999488616489948</c:v>
                </c:pt>
                <c:pt idx="7">
                  <c:v>0.8358774898848722</c:v>
                </c:pt>
                <c:pt idx="8">
                  <c:v>0.94786146393319015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C37-4A1D-A71A-AFB7B22709A1}"/>
            </c:ext>
          </c:extLst>
        </c:ser>
        <c:ser>
          <c:idx val="1"/>
          <c:order val="1"/>
          <c:tx>
            <c:v>Sanicro 38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'T-xd, CR-xd'!$D$4:$D$12</c:f>
              <c:numCache>
                <c:formatCode>0.00</c:formatCode>
                <c:ptCount val="9"/>
                <c:pt idx="0">
                  <c:v>0</c:v>
                </c:pt>
                <c:pt idx="1">
                  <c:v>24.999999999999996</c:v>
                </c:pt>
                <c:pt idx="2">
                  <c:v>49.999999999999993</c:v>
                </c:pt>
                <c:pt idx="3">
                  <c:v>75</c:v>
                </c:pt>
                <c:pt idx="4">
                  <c:v>99.999999999999986</c:v>
                </c:pt>
                <c:pt idx="5">
                  <c:v>125</c:v>
                </c:pt>
                <c:pt idx="6">
                  <c:v>150</c:v>
                </c:pt>
                <c:pt idx="7">
                  <c:v>174.99999999999997</c:v>
                </c:pt>
                <c:pt idx="8">
                  <c:v>199.99999999999997</c:v>
                </c:pt>
              </c:numCache>
            </c:numRef>
          </c:xVal>
          <c:yVal>
            <c:numRef>
              <c:f>'T-xd, CR-xd'!$J$4:$J$12</c:f>
              <c:numCache>
                <c:formatCode>0.000</c:formatCode>
                <c:ptCount val="9"/>
                <c:pt idx="0">
                  <c:v>0</c:v>
                </c:pt>
                <c:pt idx="1">
                  <c:v>4.2101940309227093E-3</c:v>
                </c:pt>
                <c:pt idx="2">
                  <c:v>1.4155726412919734E-2</c:v>
                </c:pt>
                <c:pt idx="3">
                  <c:v>2.941229440964932E-2</c:v>
                </c:pt>
                <c:pt idx="4">
                  <c:v>4.9979898021111246E-2</c:v>
                </c:pt>
                <c:pt idx="5">
                  <c:v>7.5858537247305957E-2</c:v>
                </c:pt>
                <c:pt idx="6">
                  <c:v>0.10704821208823301</c:v>
                </c:pt>
                <c:pt idx="7">
                  <c:v>0.1435489225438924</c:v>
                </c:pt>
                <c:pt idx="8">
                  <c:v>0.18536066861428369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C37-4A1D-A71A-AFB7B22709A1}"/>
            </c:ext>
          </c:extLst>
        </c:ser>
        <c:ser>
          <c:idx val="2"/>
          <c:order val="2"/>
          <c:tx>
            <c:v>304 max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'T-xd, CR-xd'!$D$4:$D$12</c:f>
              <c:numCache>
                <c:formatCode>0.00</c:formatCode>
                <c:ptCount val="9"/>
                <c:pt idx="0">
                  <c:v>0</c:v>
                </c:pt>
                <c:pt idx="1">
                  <c:v>24.999999999999996</c:v>
                </c:pt>
                <c:pt idx="2">
                  <c:v>49.999999999999993</c:v>
                </c:pt>
                <c:pt idx="3">
                  <c:v>75</c:v>
                </c:pt>
                <c:pt idx="4">
                  <c:v>99.999999999999986</c:v>
                </c:pt>
                <c:pt idx="5">
                  <c:v>125</c:v>
                </c:pt>
                <c:pt idx="6">
                  <c:v>150</c:v>
                </c:pt>
                <c:pt idx="7">
                  <c:v>174.99999999999997</c:v>
                </c:pt>
                <c:pt idx="8">
                  <c:v>199.99999999999997</c:v>
                </c:pt>
              </c:numCache>
            </c:numRef>
          </c:xVal>
          <c:yVal>
            <c:numRef>
              <c:f>'T-xd, CR-xd'!$K$4:$K$12</c:f>
              <c:numCache>
                <c:formatCode>0.000</c:formatCode>
                <c:ptCount val="9"/>
                <c:pt idx="0">
                  <c:v>0</c:v>
                </c:pt>
                <c:pt idx="1">
                  <c:v>8.5640322041140138E-2</c:v>
                </c:pt>
                <c:pt idx="2">
                  <c:v>0.22174848336166786</c:v>
                </c:pt>
                <c:pt idx="3">
                  <c:v>0.35390914897176007</c:v>
                </c:pt>
                <c:pt idx="4">
                  <c:v>0.48212231887141499</c:v>
                </c:pt>
                <c:pt idx="5">
                  <c:v>0.6063879930606344</c:v>
                </c:pt>
                <c:pt idx="6">
                  <c:v>0.72670617153941741</c:v>
                </c:pt>
                <c:pt idx="7">
                  <c:v>0.84307685430776402</c:v>
                </c:pt>
                <c:pt idx="8">
                  <c:v>0.95550004136567335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C37-4A1D-A71A-AFB7B22709A1}"/>
            </c:ext>
          </c:extLst>
        </c:ser>
        <c:ser>
          <c:idx val="3"/>
          <c:order val="3"/>
          <c:tx>
            <c:v>Sanicro 38 max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'T-xd, CR-xd'!$D$4:$D$12</c:f>
              <c:numCache>
                <c:formatCode>0.00</c:formatCode>
                <c:ptCount val="9"/>
                <c:pt idx="0">
                  <c:v>0</c:v>
                </c:pt>
                <c:pt idx="1">
                  <c:v>24.999999999999996</c:v>
                </c:pt>
                <c:pt idx="2">
                  <c:v>49.999999999999993</c:v>
                </c:pt>
                <c:pt idx="3">
                  <c:v>75</c:v>
                </c:pt>
                <c:pt idx="4">
                  <c:v>99.999999999999986</c:v>
                </c:pt>
                <c:pt idx="5">
                  <c:v>125</c:v>
                </c:pt>
                <c:pt idx="6">
                  <c:v>150</c:v>
                </c:pt>
                <c:pt idx="7">
                  <c:v>174.99999999999997</c:v>
                </c:pt>
                <c:pt idx="8">
                  <c:v>199.99999999999997</c:v>
                </c:pt>
              </c:numCache>
            </c:numRef>
          </c:xVal>
          <c:yVal>
            <c:numRef>
              <c:f>'T-xd, CR-xd'!$L$4:$L$12</c:f>
              <c:numCache>
                <c:formatCode>0.000</c:formatCode>
                <c:ptCount val="9"/>
                <c:pt idx="0">
                  <c:v>0</c:v>
                </c:pt>
                <c:pt idx="1">
                  <c:v>4.4078821978446037E-3</c:v>
                </c:pt>
                <c:pt idx="2">
                  <c:v>1.4575762797351732E-2</c:v>
                </c:pt>
                <c:pt idx="3">
                  <c:v>3.01212483690807E-2</c:v>
                </c:pt>
                <c:pt idx="4">
                  <c:v>5.1044338913032838E-2</c:v>
                </c:pt>
                <c:pt idx="5">
                  <c:v>7.734503442920726E-2</c:v>
                </c:pt>
                <c:pt idx="6">
                  <c:v>0.10902333491760485</c:v>
                </c:pt>
                <c:pt idx="7">
                  <c:v>0.14607924037822428</c:v>
                </c:pt>
                <c:pt idx="8">
                  <c:v>0.18851275081106689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C37-4A1D-A71A-AFB7B22709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1864512"/>
        <c:axId val="2131864992"/>
      </c:scatterChart>
      <c:valAx>
        <c:axId val="2131864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Internal deposit thickness [</a:t>
                </a:r>
                <a:r>
                  <a:rPr lang="el-GR"/>
                  <a:t>μ</a:t>
                </a:r>
                <a:r>
                  <a:rPr lang="en-GB"/>
                  <a:t>m]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2131864992"/>
        <c:crosses val="autoZero"/>
        <c:crossBetween val="midCat"/>
      </c:valAx>
      <c:valAx>
        <c:axId val="2131864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Corrosion rate (mm/y)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21318645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6135701436196876"/>
          <c:y val="0.26286285362215722"/>
          <c:w val="0.12740703058185143"/>
          <c:h val="0.3754768725871128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67128725308926"/>
          <c:y val="4.1603508422206718E-2"/>
          <c:w val="0.71184284008357079"/>
          <c:h val="0.81521751553207755"/>
        </c:manualLayout>
      </c:layout>
      <c:scatterChart>
        <c:scatterStyle val="lineMarker"/>
        <c:varyColors val="0"/>
        <c:ser>
          <c:idx val="0"/>
          <c:order val="0"/>
          <c:tx>
            <c:v>304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xVal>
            <c:numRef>
              <c:f>'T-xd, CR-xd'!$D$4:$D$12</c:f>
              <c:numCache>
                <c:formatCode>0.00</c:formatCode>
                <c:ptCount val="9"/>
                <c:pt idx="0">
                  <c:v>0</c:v>
                </c:pt>
                <c:pt idx="1">
                  <c:v>24.999999999999996</c:v>
                </c:pt>
                <c:pt idx="2">
                  <c:v>49.999999999999993</c:v>
                </c:pt>
                <c:pt idx="3">
                  <c:v>75</c:v>
                </c:pt>
                <c:pt idx="4">
                  <c:v>99.999999999999986</c:v>
                </c:pt>
                <c:pt idx="5">
                  <c:v>125</c:v>
                </c:pt>
                <c:pt idx="6">
                  <c:v>150</c:v>
                </c:pt>
                <c:pt idx="7">
                  <c:v>174.99999999999997</c:v>
                </c:pt>
                <c:pt idx="8">
                  <c:v>199.99999999999997</c:v>
                </c:pt>
              </c:numCache>
            </c:numRef>
          </c:xVal>
          <c:yVal>
            <c:numRef>
              <c:f>'T-xd, CR-xd'!$E$4:$E$12</c:f>
              <c:numCache>
                <c:formatCode>0.00</c:formatCode>
                <c:ptCount val="9"/>
                <c:pt idx="0">
                  <c:v>369.25106081826914</c:v>
                </c:pt>
                <c:pt idx="1">
                  <c:v>383.40579706247701</c:v>
                </c:pt>
                <c:pt idx="2">
                  <c:v>397.56053330668487</c:v>
                </c:pt>
                <c:pt idx="3">
                  <c:v>411.7152695508928</c:v>
                </c:pt>
                <c:pt idx="4">
                  <c:v>425.87000579510067</c:v>
                </c:pt>
                <c:pt idx="5">
                  <c:v>440.02474203930853</c:v>
                </c:pt>
                <c:pt idx="6">
                  <c:v>454.1794782835164</c:v>
                </c:pt>
                <c:pt idx="7">
                  <c:v>468.33421452772427</c:v>
                </c:pt>
                <c:pt idx="8">
                  <c:v>482.4889507719322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834-43B8-A24F-B423EB1325EE}"/>
            </c:ext>
          </c:extLst>
        </c:ser>
        <c:ser>
          <c:idx val="1"/>
          <c:order val="1"/>
          <c:tx>
            <c:v>Sanicro 38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'T-xd, CR-xd'!$D$4:$D$12</c:f>
              <c:numCache>
                <c:formatCode>0.00</c:formatCode>
                <c:ptCount val="9"/>
                <c:pt idx="0">
                  <c:v>0</c:v>
                </c:pt>
                <c:pt idx="1">
                  <c:v>24.999999999999996</c:v>
                </c:pt>
                <c:pt idx="2">
                  <c:v>49.999999999999993</c:v>
                </c:pt>
                <c:pt idx="3">
                  <c:v>75</c:v>
                </c:pt>
                <c:pt idx="4">
                  <c:v>99.999999999999986</c:v>
                </c:pt>
                <c:pt idx="5">
                  <c:v>125</c:v>
                </c:pt>
                <c:pt idx="6">
                  <c:v>150</c:v>
                </c:pt>
                <c:pt idx="7">
                  <c:v>174.99999999999997</c:v>
                </c:pt>
                <c:pt idx="8">
                  <c:v>199.99999999999997</c:v>
                </c:pt>
              </c:numCache>
            </c:numRef>
          </c:xVal>
          <c:yVal>
            <c:numRef>
              <c:f>'T-xd, CR-xd'!$F$4:$F$12</c:f>
              <c:numCache>
                <c:formatCode>0.00</c:formatCode>
                <c:ptCount val="9"/>
                <c:pt idx="0">
                  <c:v>372.19043868456475</c:v>
                </c:pt>
                <c:pt idx="1">
                  <c:v>386.34517492877262</c:v>
                </c:pt>
                <c:pt idx="2">
                  <c:v>400.49991117298049</c:v>
                </c:pt>
                <c:pt idx="3">
                  <c:v>414.65464741718836</c:v>
                </c:pt>
                <c:pt idx="4">
                  <c:v>428.80938366139628</c:v>
                </c:pt>
                <c:pt idx="5">
                  <c:v>442.96411990560415</c:v>
                </c:pt>
                <c:pt idx="6">
                  <c:v>457.11885614981202</c:v>
                </c:pt>
                <c:pt idx="7">
                  <c:v>471.27359239401994</c:v>
                </c:pt>
                <c:pt idx="8">
                  <c:v>485.42832863822781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834-43B8-A24F-B423EB1325EE}"/>
            </c:ext>
          </c:extLst>
        </c:ser>
        <c:ser>
          <c:idx val="2"/>
          <c:order val="2"/>
          <c:tx>
            <c:v>304 max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'T-xd, CR-xd'!$D$4:$D$12</c:f>
              <c:numCache>
                <c:formatCode>0.00</c:formatCode>
                <c:ptCount val="9"/>
                <c:pt idx="0">
                  <c:v>0</c:v>
                </c:pt>
                <c:pt idx="1">
                  <c:v>24.999999999999996</c:v>
                </c:pt>
                <c:pt idx="2">
                  <c:v>49.999999999999993</c:v>
                </c:pt>
                <c:pt idx="3">
                  <c:v>75</c:v>
                </c:pt>
                <c:pt idx="4">
                  <c:v>99.999999999999986</c:v>
                </c:pt>
                <c:pt idx="5">
                  <c:v>125</c:v>
                </c:pt>
                <c:pt idx="6">
                  <c:v>150</c:v>
                </c:pt>
                <c:pt idx="7">
                  <c:v>174.99999999999997</c:v>
                </c:pt>
                <c:pt idx="8">
                  <c:v>199.99999999999997</c:v>
                </c:pt>
              </c:numCache>
            </c:numRef>
          </c:xVal>
          <c:yVal>
            <c:numRef>
              <c:f>'T-xd, CR-xd'!$G$4:$G$12</c:f>
              <c:numCache>
                <c:formatCode>0.00</c:formatCode>
                <c:ptCount val="9"/>
                <c:pt idx="0">
                  <c:v>369.52742950855014</c:v>
                </c:pt>
                <c:pt idx="1">
                  <c:v>383.77059835617376</c:v>
                </c:pt>
                <c:pt idx="2">
                  <c:v>398.01376720379739</c:v>
                </c:pt>
                <c:pt idx="3">
                  <c:v>412.25693605142101</c:v>
                </c:pt>
                <c:pt idx="4">
                  <c:v>426.50010489904463</c:v>
                </c:pt>
                <c:pt idx="5">
                  <c:v>440.74327374666825</c:v>
                </c:pt>
                <c:pt idx="6">
                  <c:v>454.98644259429187</c:v>
                </c:pt>
                <c:pt idx="7">
                  <c:v>469.22961144191549</c:v>
                </c:pt>
                <c:pt idx="8">
                  <c:v>483.47278028953906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834-43B8-A24F-B423EB1325EE}"/>
            </c:ext>
          </c:extLst>
        </c:ser>
        <c:ser>
          <c:idx val="3"/>
          <c:order val="3"/>
          <c:tx>
            <c:v>Sanicro 38 max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'T-xd, CR-xd'!$D$4:$D$12</c:f>
              <c:numCache>
                <c:formatCode>0.00</c:formatCode>
                <c:ptCount val="9"/>
                <c:pt idx="0">
                  <c:v>0</c:v>
                </c:pt>
                <c:pt idx="1">
                  <c:v>24.999999999999996</c:v>
                </c:pt>
                <c:pt idx="2">
                  <c:v>49.999999999999993</c:v>
                </c:pt>
                <c:pt idx="3">
                  <c:v>75</c:v>
                </c:pt>
                <c:pt idx="4">
                  <c:v>99.999999999999986</c:v>
                </c:pt>
                <c:pt idx="5">
                  <c:v>125</c:v>
                </c:pt>
                <c:pt idx="6">
                  <c:v>150</c:v>
                </c:pt>
                <c:pt idx="7">
                  <c:v>174.99999999999997</c:v>
                </c:pt>
                <c:pt idx="8">
                  <c:v>199.99999999999997</c:v>
                </c:pt>
              </c:numCache>
            </c:numRef>
          </c:xVal>
          <c:yVal>
            <c:numRef>
              <c:f>'T-xd, CR-xd'!$H$4:$H$12</c:f>
              <c:numCache>
                <c:formatCode>0.00</c:formatCode>
                <c:ptCount val="9"/>
                <c:pt idx="0">
                  <c:v>372.48213093245346</c:v>
                </c:pt>
                <c:pt idx="1">
                  <c:v>386.72529978007708</c:v>
                </c:pt>
                <c:pt idx="2">
                  <c:v>400.9684686277007</c:v>
                </c:pt>
                <c:pt idx="3">
                  <c:v>415.21163747532432</c:v>
                </c:pt>
                <c:pt idx="4">
                  <c:v>429.45480632294795</c:v>
                </c:pt>
                <c:pt idx="5">
                  <c:v>443.69797517057157</c:v>
                </c:pt>
                <c:pt idx="6">
                  <c:v>457.94114401819519</c:v>
                </c:pt>
                <c:pt idx="7">
                  <c:v>472.18431286581881</c:v>
                </c:pt>
                <c:pt idx="8">
                  <c:v>486.42748171344243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834-43B8-A24F-B423EB1325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1864512"/>
        <c:axId val="2131864992"/>
      </c:scatterChart>
      <c:valAx>
        <c:axId val="2131864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Internal deposit thickness (</a:t>
                </a:r>
                <a:r>
                  <a:rPr lang="el-GR" sz="1200"/>
                  <a:t>μ</a:t>
                </a:r>
                <a:r>
                  <a:rPr lang="en-GB" sz="1200"/>
                  <a:t>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2131864992"/>
        <c:crosses val="autoZero"/>
        <c:crossBetween val="midCat"/>
      </c:valAx>
      <c:valAx>
        <c:axId val="2131864992"/>
        <c:scaling>
          <c:orientation val="minMax"/>
          <c:min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Temperature (</a:t>
                </a:r>
                <a:r>
                  <a:rPr lang="en-GB" sz="1200" baseline="30000"/>
                  <a:t>o</a:t>
                </a:r>
                <a:r>
                  <a:rPr lang="en-GB" sz="1200" baseline="0"/>
                  <a:t>C)</a:t>
                </a:r>
                <a:endParaRPr lang="en-GB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21318645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4"/>
        <c:delete val="1"/>
      </c:legendEntry>
      <c:layout>
        <c:manualLayout>
          <c:xMode val="edge"/>
          <c:yMode val="edge"/>
          <c:x val="0.87074141227700341"/>
          <c:y val="0.21729864779560784"/>
          <c:w val="0.12155145745929596"/>
          <c:h val="0.467512143260573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54199997697652"/>
          <c:y val="4.2136886735311935E-2"/>
          <c:w val="0.69940969009790432"/>
          <c:h val="0.80601090248334351"/>
        </c:manualLayout>
      </c:layout>
      <c:scatterChart>
        <c:scatterStyle val="lineMarker"/>
        <c:varyColors val="0"/>
        <c:ser>
          <c:idx val="0"/>
          <c:order val="0"/>
          <c:tx>
            <c:v>304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'T-xd, CR-xd'!$D$4:$D$12</c:f>
              <c:numCache>
                <c:formatCode>0.00</c:formatCode>
                <c:ptCount val="9"/>
                <c:pt idx="0">
                  <c:v>0</c:v>
                </c:pt>
                <c:pt idx="1">
                  <c:v>24.999999999999996</c:v>
                </c:pt>
                <c:pt idx="2">
                  <c:v>49.999999999999993</c:v>
                </c:pt>
                <c:pt idx="3">
                  <c:v>75</c:v>
                </c:pt>
                <c:pt idx="4">
                  <c:v>99.999999999999986</c:v>
                </c:pt>
                <c:pt idx="5">
                  <c:v>125</c:v>
                </c:pt>
                <c:pt idx="6">
                  <c:v>150</c:v>
                </c:pt>
                <c:pt idx="7">
                  <c:v>174.99999999999997</c:v>
                </c:pt>
                <c:pt idx="8">
                  <c:v>199.99999999999997</c:v>
                </c:pt>
              </c:numCache>
            </c:numRef>
          </c:xVal>
          <c:yVal>
            <c:numRef>
              <c:f>'T-xd, CR-xd'!$E$4:$E$12</c:f>
              <c:numCache>
                <c:formatCode>0.00</c:formatCode>
                <c:ptCount val="9"/>
                <c:pt idx="0">
                  <c:v>369.25106081826914</c:v>
                </c:pt>
                <c:pt idx="1">
                  <c:v>383.40579706247701</c:v>
                </c:pt>
                <c:pt idx="2">
                  <c:v>397.56053330668487</c:v>
                </c:pt>
                <c:pt idx="3">
                  <c:v>411.7152695508928</c:v>
                </c:pt>
                <c:pt idx="4">
                  <c:v>425.87000579510067</c:v>
                </c:pt>
                <c:pt idx="5">
                  <c:v>440.02474203930853</c:v>
                </c:pt>
                <c:pt idx="6">
                  <c:v>454.1794782835164</c:v>
                </c:pt>
                <c:pt idx="7">
                  <c:v>468.33421452772427</c:v>
                </c:pt>
                <c:pt idx="8">
                  <c:v>482.4889507719322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F5C-44A2-AEA5-53119FD44D03}"/>
            </c:ext>
          </c:extLst>
        </c:ser>
        <c:ser>
          <c:idx val="1"/>
          <c:order val="1"/>
          <c:tx>
            <c:v>Sanicro 38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'T-xd, CR-xd'!$D$4:$D$12</c:f>
              <c:numCache>
                <c:formatCode>0.00</c:formatCode>
                <c:ptCount val="9"/>
                <c:pt idx="0">
                  <c:v>0</c:v>
                </c:pt>
                <c:pt idx="1">
                  <c:v>24.999999999999996</c:v>
                </c:pt>
                <c:pt idx="2">
                  <c:v>49.999999999999993</c:v>
                </c:pt>
                <c:pt idx="3">
                  <c:v>75</c:v>
                </c:pt>
                <c:pt idx="4">
                  <c:v>99.999999999999986</c:v>
                </c:pt>
                <c:pt idx="5">
                  <c:v>125</c:v>
                </c:pt>
                <c:pt idx="6">
                  <c:v>150</c:v>
                </c:pt>
                <c:pt idx="7">
                  <c:v>174.99999999999997</c:v>
                </c:pt>
                <c:pt idx="8">
                  <c:v>199.99999999999997</c:v>
                </c:pt>
              </c:numCache>
            </c:numRef>
          </c:xVal>
          <c:yVal>
            <c:numRef>
              <c:f>'T-xd, CR-xd'!$F$4:$F$12</c:f>
              <c:numCache>
                <c:formatCode>0.00</c:formatCode>
                <c:ptCount val="9"/>
                <c:pt idx="0">
                  <c:v>372.19043868456475</c:v>
                </c:pt>
                <c:pt idx="1">
                  <c:v>386.34517492877262</c:v>
                </c:pt>
                <c:pt idx="2">
                  <c:v>400.49991117298049</c:v>
                </c:pt>
                <c:pt idx="3">
                  <c:v>414.65464741718836</c:v>
                </c:pt>
                <c:pt idx="4">
                  <c:v>428.80938366139628</c:v>
                </c:pt>
                <c:pt idx="5">
                  <c:v>442.96411990560415</c:v>
                </c:pt>
                <c:pt idx="6">
                  <c:v>457.11885614981202</c:v>
                </c:pt>
                <c:pt idx="7">
                  <c:v>471.27359239401994</c:v>
                </c:pt>
                <c:pt idx="8">
                  <c:v>485.42832863822781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EF5C-44A2-AEA5-53119FD44D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1864512"/>
        <c:axId val="2131864992"/>
      </c:scatterChart>
      <c:valAx>
        <c:axId val="2131864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Internal deposit thickness (</a:t>
                </a:r>
                <a:r>
                  <a:rPr lang="el-GR" sz="1200"/>
                  <a:t>μ</a:t>
                </a:r>
                <a:r>
                  <a:rPr lang="en-GB" sz="1200"/>
                  <a:t>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2131864992"/>
        <c:crosses val="autoZero"/>
        <c:crossBetween val="midCat"/>
      </c:valAx>
      <c:valAx>
        <c:axId val="2131864992"/>
        <c:scaling>
          <c:orientation val="minMax"/>
          <c:min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Temperature (</a:t>
                </a:r>
                <a:r>
                  <a:rPr lang="en-GB" sz="1200" baseline="30000"/>
                  <a:t>o</a:t>
                </a:r>
                <a:r>
                  <a:rPr lang="en-GB" sz="1200" baseline="0"/>
                  <a:t>C)</a:t>
                </a:r>
                <a:endParaRPr lang="en-GB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21318645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6767012685331435"/>
          <c:y val="0.38887677501850731"/>
          <c:w val="0.12078783924037059"/>
          <c:h val="0.1812208089373444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1"/>
          <c:order val="0"/>
          <c:tx>
            <c:v>Sanicro 38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'l-CR'!$I$4:$I$104</c:f>
              <c:numCache>
                <c:formatCode>0.000</c:formatCode>
                <c:ptCount val="101"/>
                <c:pt idx="0">
                  <c:v>5.105284726888959E-2</c:v>
                </c:pt>
                <c:pt idx="1">
                  <c:v>5.105284726888959E-2</c:v>
                </c:pt>
                <c:pt idx="2">
                  <c:v>5.105284726888959E-2</c:v>
                </c:pt>
                <c:pt idx="3">
                  <c:v>5.105284726888959E-2</c:v>
                </c:pt>
                <c:pt idx="4">
                  <c:v>5.0511408117697165E-2</c:v>
                </c:pt>
                <c:pt idx="5">
                  <c:v>4.9972811018200058E-2</c:v>
                </c:pt>
                <c:pt idx="6">
                  <c:v>4.9437055970396937E-2</c:v>
                </c:pt>
                <c:pt idx="7">
                  <c:v>4.8904142974289577E-2</c:v>
                </c:pt>
                <c:pt idx="8">
                  <c:v>4.8374072029877535E-2</c:v>
                </c:pt>
                <c:pt idx="9">
                  <c:v>4.784684313716081E-2</c:v>
                </c:pt>
                <c:pt idx="10">
                  <c:v>4.6800911506811538E-2</c:v>
                </c:pt>
                <c:pt idx="11">
                  <c:v>4.5766348083243535E-2</c:v>
                </c:pt>
                <c:pt idx="12">
                  <c:v>4.4743152866455027E-2</c:v>
                </c:pt>
                <c:pt idx="13">
                  <c:v>4.3731325856446901E-2</c:v>
                </c:pt>
                <c:pt idx="14">
                  <c:v>4.2730867053220045E-2</c:v>
                </c:pt>
                <c:pt idx="15">
                  <c:v>4.1741776456772683E-2</c:v>
                </c:pt>
                <c:pt idx="16">
                  <c:v>4.0764054067107036E-2</c:v>
                </c:pt>
                <c:pt idx="17">
                  <c:v>3.9797699884220883E-2</c:v>
                </c:pt>
                <c:pt idx="18">
                  <c:v>3.8842713908115112E-2</c:v>
                </c:pt>
                <c:pt idx="19">
                  <c:v>3.7899096138789723E-2</c:v>
                </c:pt>
                <c:pt idx="20">
                  <c:v>3.7143099209617336E-2</c:v>
                </c:pt>
                <c:pt idx="21">
                  <c:v>3.6220057894564395E-2</c:v>
                </c:pt>
                <c:pt idx="22">
                  <c:v>3.530838478629228E-2</c:v>
                </c:pt>
                <c:pt idx="23">
                  <c:v>3.4408079884800546E-2</c:v>
                </c:pt>
                <c:pt idx="24">
                  <c:v>3.3519143190090084E-2</c:v>
                </c:pt>
                <c:pt idx="25">
                  <c:v>3.2641574702159559E-2</c:v>
                </c:pt>
                <c:pt idx="26">
                  <c:v>3.1775374421008529E-2</c:v>
                </c:pt>
                <c:pt idx="27">
                  <c:v>3.0920542346638324E-2</c:v>
                </c:pt>
                <c:pt idx="28">
                  <c:v>3.0497389386996421E-2</c:v>
                </c:pt>
                <c:pt idx="29">
                  <c:v>2.9079927870891975E-2</c:v>
                </c:pt>
                <c:pt idx="30">
                  <c:v>2.8054955515448121E-2</c:v>
                </c:pt>
                <c:pt idx="31">
                  <c:v>2.6601244150933123E-2</c:v>
                </c:pt>
                <c:pt idx="32">
                  <c:v>2.5185113635278977E-2</c:v>
                </c:pt>
                <c:pt idx="33">
                  <c:v>2.3806563968485683E-2</c:v>
                </c:pt>
                <c:pt idx="34">
                  <c:v>2.2465595150553241E-2</c:v>
                </c:pt>
                <c:pt idx="35">
                  <c:v>2.154927758307279E-2</c:v>
                </c:pt>
                <c:pt idx="36">
                  <c:v>2.0587943347340598E-2</c:v>
                </c:pt>
                <c:pt idx="37">
                  <c:v>1.9339047609117532E-2</c:v>
                </c:pt>
                <c:pt idx="38">
                  <c:v>1.8127732719754874E-2</c:v>
                </c:pt>
                <c:pt idx="39">
                  <c:v>1.6953998679253512E-2</c:v>
                </c:pt>
                <c:pt idx="40">
                  <c:v>1.5817845487613003E-2</c:v>
                </c:pt>
                <c:pt idx="41">
                  <c:v>1.4719273144834233E-2</c:v>
                </c:pt>
                <c:pt idx="42">
                  <c:v>1.3658281650915427E-2</c:v>
                </c:pt>
                <c:pt idx="43">
                  <c:v>1.2634871005857917E-2</c:v>
                </c:pt>
                <c:pt idx="44">
                  <c:v>1.1649041209661259E-2</c:v>
                </c:pt>
                <c:pt idx="45">
                  <c:v>1.070079226232501E-2</c:v>
                </c:pt>
                <c:pt idx="46">
                  <c:v>9.790124163850944E-3</c:v>
                </c:pt>
                <c:pt idx="47">
                  <c:v>8.9170369142368422E-3</c:v>
                </c:pt>
                <c:pt idx="48">
                  <c:v>8.0815305134840365E-3</c:v>
                </c:pt>
                <c:pt idx="49">
                  <c:v>7.2836049615920828E-3</c:v>
                </c:pt>
                <c:pt idx="50">
                  <c:v>6.449292734944656E-3</c:v>
                </c:pt>
                <c:pt idx="51">
                  <c:v>5.6527945792015366E-3</c:v>
                </c:pt>
                <c:pt idx="52">
                  <c:v>4.9134841806321994E-3</c:v>
                </c:pt>
                <c:pt idx="53">
                  <c:v>4.21581779948621E-3</c:v>
                </c:pt>
                <c:pt idx="54">
                  <c:v>3.5636242454619715E-3</c:v>
                </c:pt>
                <c:pt idx="55">
                  <c:v>2.9569035185590398E-3</c:v>
                </c:pt>
                <c:pt idx="56">
                  <c:v>2.3956556187780809E-3</c:v>
                </c:pt>
                <c:pt idx="57">
                  <c:v>1.8798805461186507E-3</c:v>
                </c:pt>
                <c:pt idx="58">
                  <c:v>1.4095783005814155E-3</c:v>
                </c:pt>
                <c:pt idx="59">
                  <c:v>9.8474888216548706E-4</c:v>
                </c:pt>
                <c:pt idx="60">
                  <c:v>7.211641744153674E-4</c:v>
                </c:pt>
                <c:pt idx="61">
                  <c:v>4.7871869414994883E-4</c:v>
                </c:pt>
                <c:pt idx="62">
                  <c:v>2.5741244136856523E-4</c:v>
                </c:pt>
                <c:pt idx="63">
                  <c:v>5.7245416071216582E-5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xVal>
          <c:yVal>
            <c:numRef>
              <c:f>'l-CR'!$C$4:$C$104</c:f>
              <c:numCache>
                <c:formatCode>0.00%</c:formatCode>
                <c:ptCount val="10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0.33</c:v>
                </c:pt>
                <c:pt idx="34">
                  <c:v>0.34</c:v>
                </c:pt>
                <c:pt idx="35">
                  <c:v>0.35</c:v>
                </c:pt>
                <c:pt idx="36">
                  <c:v>0.36</c:v>
                </c:pt>
                <c:pt idx="37">
                  <c:v>0.37</c:v>
                </c:pt>
                <c:pt idx="38">
                  <c:v>0.38</c:v>
                </c:pt>
                <c:pt idx="39">
                  <c:v>0.39</c:v>
                </c:pt>
                <c:pt idx="40">
                  <c:v>0.4</c:v>
                </c:pt>
                <c:pt idx="41">
                  <c:v>0.41</c:v>
                </c:pt>
                <c:pt idx="42">
                  <c:v>0.42</c:v>
                </c:pt>
                <c:pt idx="43">
                  <c:v>0.43</c:v>
                </c:pt>
                <c:pt idx="44">
                  <c:v>0.44</c:v>
                </c:pt>
                <c:pt idx="45">
                  <c:v>0.45</c:v>
                </c:pt>
                <c:pt idx="46">
                  <c:v>0.46</c:v>
                </c:pt>
                <c:pt idx="47">
                  <c:v>0.47</c:v>
                </c:pt>
                <c:pt idx="48">
                  <c:v>0.48</c:v>
                </c:pt>
                <c:pt idx="49">
                  <c:v>0.49</c:v>
                </c:pt>
                <c:pt idx="50">
                  <c:v>0.5</c:v>
                </c:pt>
                <c:pt idx="51">
                  <c:v>0.51</c:v>
                </c:pt>
                <c:pt idx="52">
                  <c:v>0.52</c:v>
                </c:pt>
                <c:pt idx="53">
                  <c:v>0.53</c:v>
                </c:pt>
                <c:pt idx="54">
                  <c:v>0.54</c:v>
                </c:pt>
                <c:pt idx="55">
                  <c:v>0.55000000000000004</c:v>
                </c:pt>
                <c:pt idx="56">
                  <c:v>0.56000000000000005</c:v>
                </c:pt>
                <c:pt idx="57">
                  <c:v>0.56999999999999995</c:v>
                </c:pt>
                <c:pt idx="58">
                  <c:v>0.57999999999999996</c:v>
                </c:pt>
                <c:pt idx="59">
                  <c:v>0.59</c:v>
                </c:pt>
                <c:pt idx="60">
                  <c:v>0.6</c:v>
                </c:pt>
                <c:pt idx="61">
                  <c:v>0.61</c:v>
                </c:pt>
                <c:pt idx="62">
                  <c:v>0.62</c:v>
                </c:pt>
                <c:pt idx="63">
                  <c:v>0.63</c:v>
                </c:pt>
                <c:pt idx="64">
                  <c:v>0.64</c:v>
                </c:pt>
                <c:pt idx="65">
                  <c:v>0.65</c:v>
                </c:pt>
                <c:pt idx="66">
                  <c:v>0.66</c:v>
                </c:pt>
                <c:pt idx="67">
                  <c:v>0.67</c:v>
                </c:pt>
                <c:pt idx="68">
                  <c:v>0.68</c:v>
                </c:pt>
                <c:pt idx="69">
                  <c:v>0.69</c:v>
                </c:pt>
                <c:pt idx="70">
                  <c:v>0.7</c:v>
                </c:pt>
                <c:pt idx="71">
                  <c:v>0.71</c:v>
                </c:pt>
                <c:pt idx="72">
                  <c:v>0.72</c:v>
                </c:pt>
                <c:pt idx="73">
                  <c:v>0.73</c:v>
                </c:pt>
                <c:pt idx="74">
                  <c:v>0.74</c:v>
                </c:pt>
                <c:pt idx="75">
                  <c:v>0.75</c:v>
                </c:pt>
                <c:pt idx="76">
                  <c:v>0.76</c:v>
                </c:pt>
                <c:pt idx="77">
                  <c:v>0.77</c:v>
                </c:pt>
                <c:pt idx="78">
                  <c:v>0.78</c:v>
                </c:pt>
                <c:pt idx="79">
                  <c:v>0.79</c:v>
                </c:pt>
                <c:pt idx="80">
                  <c:v>0.8</c:v>
                </c:pt>
                <c:pt idx="81">
                  <c:v>0.81</c:v>
                </c:pt>
                <c:pt idx="82">
                  <c:v>0.82</c:v>
                </c:pt>
                <c:pt idx="83">
                  <c:v>0.83</c:v>
                </c:pt>
                <c:pt idx="84">
                  <c:v>0.84</c:v>
                </c:pt>
                <c:pt idx="85">
                  <c:v>0.85</c:v>
                </c:pt>
                <c:pt idx="86">
                  <c:v>0.86</c:v>
                </c:pt>
                <c:pt idx="87">
                  <c:v>0.87</c:v>
                </c:pt>
                <c:pt idx="88">
                  <c:v>0.88</c:v>
                </c:pt>
                <c:pt idx="89">
                  <c:v>0.89</c:v>
                </c:pt>
                <c:pt idx="90">
                  <c:v>0.9</c:v>
                </c:pt>
                <c:pt idx="91">
                  <c:v>0.91</c:v>
                </c:pt>
                <c:pt idx="92">
                  <c:v>0.92</c:v>
                </c:pt>
                <c:pt idx="93">
                  <c:v>0.93</c:v>
                </c:pt>
                <c:pt idx="94">
                  <c:v>0.94</c:v>
                </c:pt>
                <c:pt idx="95">
                  <c:v>0.95</c:v>
                </c:pt>
                <c:pt idx="96">
                  <c:v>0.96</c:v>
                </c:pt>
                <c:pt idx="97">
                  <c:v>0.97</c:v>
                </c:pt>
                <c:pt idx="98">
                  <c:v>0.98</c:v>
                </c:pt>
                <c:pt idx="99">
                  <c:v>0.99</c:v>
                </c:pt>
                <c:pt idx="1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A36E-49F1-BFDD-35E575C2D0E9}"/>
            </c:ext>
          </c:extLst>
        </c:ser>
        <c:ser>
          <c:idx val="0"/>
          <c:order val="1"/>
          <c:tx>
            <c:v>AISI 304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'l-CR'!$H$4:$H$104</c:f>
              <c:numCache>
                <c:formatCode>0.000</c:formatCode>
                <c:ptCount val="101"/>
                <c:pt idx="0">
                  <c:v>0.4821408588721976</c:v>
                </c:pt>
                <c:pt idx="1">
                  <c:v>0.4821408588721976</c:v>
                </c:pt>
                <c:pt idx="2">
                  <c:v>0.4821408588721976</c:v>
                </c:pt>
                <c:pt idx="3">
                  <c:v>0.4821408588721976</c:v>
                </c:pt>
                <c:pt idx="4">
                  <c:v>0.4793196805897022</c:v>
                </c:pt>
                <c:pt idx="5">
                  <c:v>0.47649653218398935</c:v>
                </c:pt>
                <c:pt idx="6">
                  <c:v>0.47367141365505816</c:v>
                </c:pt>
                <c:pt idx="7">
                  <c:v>0.47084432500290951</c:v>
                </c:pt>
                <c:pt idx="8">
                  <c:v>0.46801526622754253</c:v>
                </c:pt>
                <c:pt idx="9">
                  <c:v>0.4651842373289572</c:v>
                </c:pt>
                <c:pt idx="10">
                  <c:v>0.45951626916213506</c:v>
                </c:pt>
                <c:pt idx="11">
                  <c:v>0.45384042050244044</c:v>
                </c:pt>
                <c:pt idx="12">
                  <c:v>0.44815669134987424</c:v>
                </c:pt>
                <c:pt idx="13">
                  <c:v>0.44246508170443644</c:v>
                </c:pt>
                <c:pt idx="14">
                  <c:v>0.43676559156612704</c:v>
                </c:pt>
                <c:pt idx="15">
                  <c:v>0.43105822093494695</c:v>
                </c:pt>
                <c:pt idx="16">
                  <c:v>0.42534296981089526</c:v>
                </c:pt>
                <c:pt idx="17">
                  <c:v>0.41961983819397197</c:v>
                </c:pt>
                <c:pt idx="18">
                  <c:v>0.4138888260841771</c:v>
                </c:pt>
                <c:pt idx="19">
                  <c:v>0.40814993348151152</c:v>
                </c:pt>
                <c:pt idx="20">
                  <c:v>0.40349565367805251</c:v>
                </c:pt>
                <c:pt idx="21">
                  <c:v>0.39774249738328926</c:v>
                </c:pt>
                <c:pt idx="22">
                  <c:v>0.39198146059565442</c:v>
                </c:pt>
                <c:pt idx="23">
                  <c:v>0.38621254331514798</c:v>
                </c:pt>
                <c:pt idx="24">
                  <c:v>0.38043574554176995</c:v>
                </c:pt>
                <c:pt idx="25">
                  <c:v>0.37465106727552122</c:v>
                </c:pt>
                <c:pt idx="26">
                  <c:v>0.36885850851640001</c:v>
                </c:pt>
                <c:pt idx="27">
                  <c:v>0.36305806926440809</c:v>
                </c:pt>
                <c:pt idx="28">
                  <c:v>0.36015489445358639</c:v>
                </c:pt>
                <c:pt idx="29">
                  <c:v>0.35026936357511751</c:v>
                </c:pt>
                <c:pt idx="30">
                  <c:v>0.34295955400659039</c:v>
                </c:pt>
                <c:pt idx="31">
                  <c:v>0.33234361381807265</c:v>
                </c:pt>
                <c:pt idx="32">
                  <c:v>0.32170162241344968</c:v>
                </c:pt>
                <c:pt idx="33">
                  <c:v>0.31103357979272328</c:v>
                </c:pt>
                <c:pt idx="34">
                  <c:v>0.30033948595589255</c:v>
                </c:pt>
                <c:pt idx="35">
                  <c:v>0.29283811979652974</c:v>
                </c:pt>
                <c:pt idx="36">
                  <c:v>0.28478677641988437</c:v>
                </c:pt>
                <c:pt idx="37">
                  <c:v>0.27402885710359914</c:v>
                </c:pt>
                <c:pt idx="38">
                  <c:v>0.26324488657121137</c:v>
                </c:pt>
                <c:pt idx="39">
                  <c:v>0.25243486482271837</c:v>
                </c:pt>
                <c:pt idx="40">
                  <c:v>0.24159879185812105</c:v>
                </c:pt>
                <c:pt idx="41">
                  <c:v>0.2307366676774194</c:v>
                </c:pt>
                <c:pt idx="42">
                  <c:v>0.2198484922806152</c:v>
                </c:pt>
                <c:pt idx="43">
                  <c:v>0.20893426566770668</c:v>
                </c:pt>
                <c:pt idx="44">
                  <c:v>0.19799398783869293</c:v>
                </c:pt>
                <c:pt idx="45">
                  <c:v>0.18702765879357663</c:v>
                </c:pt>
                <c:pt idx="46">
                  <c:v>0.17603527853235512</c:v>
                </c:pt>
                <c:pt idx="47">
                  <c:v>0.16501684705503195</c:v>
                </c:pt>
                <c:pt idx="48">
                  <c:v>0.15397236436160355</c:v>
                </c:pt>
                <c:pt idx="49">
                  <c:v>0.14290183045206994</c:v>
                </c:pt>
                <c:pt idx="50">
                  <c:v>0.13069415399698414</c:v>
                </c:pt>
                <c:pt idx="51">
                  <c:v>0.11833240440019033</c:v>
                </c:pt>
                <c:pt idx="52">
                  <c:v>0.10612280237141025</c:v>
                </c:pt>
                <c:pt idx="53">
                  <c:v>9.3820402392008617E-2</c:v>
                </c:pt>
                <c:pt idx="54">
                  <c:v>8.1486480441122389E-2</c:v>
                </c:pt>
                <c:pt idx="55">
                  <c:v>6.912103651874979E-2</c:v>
                </c:pt>
                <c:pt idx="56">
                  <c:v>5.6724070624892597E-2</c:v>
                </c:pt>
                <c:pt idx="57">
                  <c:v>4.4295582759548147E-2</c:v>
                </c:pt>
                <c:pt idx="58">
                  <c:v>3.1835572922718214E-2</c:v>
                </c:pt>
                <c:pt idx="59">
                  <c:v>1.9344041114401911E-2</c:v>
                </c:pt>
                <c:pt idx="60">
                  <c:v>1.0809014577560561E-2</c:v>
                </c:pt>
                <c:pt idx="61">
                  <c:v>2.2593342316596932E-3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</c:numCache>
            </c:numRef>
          </c:xVal>
          <c:yVal>
            <c:numRef>
              <c:f>'l-CR'!$C$4:$C$104</c:f>
              <c:numCache>
                <c:formatCode>0.00%</c:formatCode>
                <c:ptCount val="10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0.33</c:v>
                </c:pt>
                <c:pt idx="34">
                  <c:v>0.34</c:v>
                </c:pt>
                <c:pt idx="35">
                  <c:v>0.35</c:v>
                </c:pt>
                <c:pt idx="36">
                  <c:v>0.36</c:v>
                </c:pt>
                <c:pt idx="37">
                  <c:v>0.37</c:v>
                </c:pt>
                <c:pt idx="38">
                  <c:v>0.38</c:v>
                </c:pt>
                <c:pt idx="39">
                  <c:v>0.39</c:v>
                </c:pt>
                <c:pt idx="40">
                  <c:v>0.4</c:v>
                </c:pt>
                <c:pt idx="41">
                  <c:v>0.41</c:v>
                </c:pt>
                <c:pt idx="42">
                  <c:v>0.42</c:v>
                </c:pt>
                <c:pt idx="43">
                  <c:v>0.43</c:v>
                </c:pt>
                <c:pt idx="44">
                  <c:v>0.44</c:v>
                </c:pt>
                <c:pt idx="45">
                  <c:v>0.45</c:v>
                </c:pt>
                <c:pt idx="46">
                  <c:v>0.46</c:v>
                </c:pt>
                <c:pt idx="47">
                  <c:v>0.47</c:v>
                </c:pt>
                <c:pt idx="48">
                  <c:v>0.48</c:v>
                </c:pt>
                <c:pt idx="49">
                  <c:v>0.49</c:v>
                </c:pt>
                <c:pt idx="50">
                  <c:v>0.5</c:v>
                </c:pt>
                <c:pt idx="51">
                  <c:v>0.51</c:v>
                </c:pt>
                <c:pt idx="52">
                  <c:v>0.52</c:v>
                </c:pt>
                <c:pt idx="53">
                  <c:v>0.53</c:v>
                </c:pt>
                <c:pt idx="54">
                  <c:v>0.54</c:v>
                </c:pt>
                <c:pt idx="55">
                  <c:v>0.55000000000000004</c:v>
                </c:pt>
                <c:pt idx="56">
                  <c:v>0.56000000000000005</c:v>
                </c:pt>
                <c:pt idx="57">
                  <c:v>0.56999999999999995</c:v>
                </c:pt>
                <c:pt idx="58">
                  <c:v>0.57999999999999996</c:v>
                </c:pt>
                <c:pt idx="59">
                  <c:v>0.59</c:v>
                </c:pt>
                <c:pt idx="60">
                  <c:v>0.6</c:v>
                </c:pt>
                <c:pt idx="61">
                  <c:v>0.61</c:v>
                </c:pt>
                <c:pt idx="62">
                  <c:v>0.62</c:v>
                </c:pt>
                <c:pt idx="63">
                  <c:v>0.63</c:v>
                </c:pt>
                <c:pt idx="64">
                  <c:v>0.64</c:v>
                </c:pt>
                <c:pt idx="65">
                  <c:v>0.65</c:v>
                </c:pt>
                <c:pt idx="66">
                  <c:v>0.66</c:v>
                </c:pt>
                <c:pt idx="67">
                  <c:v>0.67</c:v>
                </c:pt>
                <c:pt idx="68">
                  <c:v>0.68</c:v>
                </c:pt>
                <c:pt idx="69">
                  <c:v>0.69</c:v>
                </c:pt>
                <c:pt idx="70">
                  <c:v>0.7</c:v>
                </c:pt>
                <c:pt idx="71">
                  <c:v>0.71</c:v>
                </c:pt>
                <c:pt idx="72">
                  <c:v>0.72</c:v>
                </c:pt>
                <c:pt idx="73">
                  <c:v>0.73</c:v>
                </c:pt>
                <c:pt idx="74">
                  <c:v>0.74</c:v>
                </c:pt>
                <c:pt idx="75">
                  <c:v>0.75</c:v>
                </c:pt>
                <c:pt idx="76">
                  <c:v>0.76</c:v>
                </c:pt>
                <c:pt idx="77">
                  <c:v>0.77</c:v>
                </c:pt>
                <c:pt idx="78">
                  <c:v>0.78</c:v>
                </c:pt>
                <c:pt idx="79">
                  <c:v>0.79</c:v>
                </c:pt>
                <c:pt idx="80">
                  <c:v>0.8</c:v>
                </c:pt>
                <c:pt idx="81">
                  <c:v>0.81</c:v>
                </c:pt>
                <c:pt idx="82">
                  <c:v>0.82</c:v>
                </c:pt>
                <c:pt idx="83">
                  <c:v>0.83</c:v>
                </c:pt>
                <c:pt idx="84">
                  <c:v>0.84</c:v>
                </c:pt>
                <c:pt idx="85">
                  <c:v>0.85</c:v>
                </c:pt>
                <c:pt idx="86">
                  <c:v>0.86</c:v>
                </c:pt>
                <c:pt idx="87">
                  <c:v>0.87</c:v>
                </c:pt>
                <c:pt idx="88">
                  <c:v>0.88</c:v>
                </c:pt>
                <c:pt idx="89">
                  <c:v>0.89</c:v>
                </c:pt>
                <c:pt idx="90">
                  <c:v>0.9</c:v>
                </c:pt>
                <c:pt idx="91">
                  <c:v>0.91</c:v>
                </c:pt>
                <c:pt idx="92">
                  <c:v>0.92</c:v>
                </c:pt>
                <c:pt idx="93">
                  <c:v>0.93</c:v>
                </c:pt>
                <c:pt idx="94">
                  <c:v>0.94</c:v>
                </c:pt>
                <c:pt idx="95">
                  <c:v>0.95</c:v>
                </c:pt>
                <c:pt idx="96">
                  <c:v>0.96</c:v>
                </c:pt>
                <c:pt idx="97">
                  <c:v>0.97</c:v>
                </c:pt>
                <c:pt idx="98">
                  <c:v>0.98</c:v>
                </c:pt>
                <c:pt idx="99">
                  <c:v>0.99</c:v>
                </c:pt>
                <c:pt idx="1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A36E-49F1-BFDD-35E575C2D0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96635248"/>
        <c:axId val="996638128"/>
      </c:scatterChart>
      <c:valAx>
        <c:axId val="996635248"/>
        <c:scaling>
          <c:orientation val="minMax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Corrosion rate (mm/y)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996638128"/>
        <c:crosses val="autoZero"/>
        <c:crossBetween val="midCat"/>
      </c:valAx>
      <c:valAx>
        <c:axId val="9966381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Furnace height from primary air port to nose arch upper edge (%)</a:t>
                </a:r>
                <a:endParaRPr lang="en-GB" sz="12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</a:endParaRPr>
              </a:p>
            </c:rich>
          </c:tx>
          <c:layout>
            <c:manualLayout>
              <c:xMode val="edge"/>
              <c:yMode val="edge"/>
              <c:x val="1.8158236057068743E-2"/>
              <c:y val="0.1983147696652710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.0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9966352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'T-x'!$Z$2</c:f>
              <c:strCache>
                <c:ptCount val="1"/>
                <c:pt idx="0">
                  <c:v>AISI 304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198-4209-BBC8-C349C310446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198-4209-BBC8-C349C310446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198-4209-BBC8-C349C3104466}"/>
                </c:ext>
              </c:extLst>
            </c:dLbl>
            <c:dLbl>
              <c:idx val="3"/>
              <c:layout>
                <c:manualLayout>
                  <c:x val="-0.13418039008613578"/>
                  <c:y val="5.288993814550270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304:</a:t>
                    </a:r>
                    <a:r>
                      <a:rPr lang="en-US" baseline="0"/>
                      <a:t> </a:t>
                    </a:r>
                    <a:fld id="{430185D2-D4E7-41B2-B4CB-B3364F6EA326}" type="YVALUE">
                      <a:rPr lang="en-US"/>
                      <a:pPr/>
                      <a:t>[Y-VÄRDE]</a:t>
                    </a:fld>
                    <a:endParaRPr lang="en-US" baseline="0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B-0198-4209-BBC8-C349C3104466}"/>
                </c:ext>
              </c:extLst>
            </c:dLbl>
            <c:dLbl>
              <c:idx val="4"/>
              <c:layout>
                <c:manualLayout>
                  <c:x val="-0.10823633331581364"/>
                  <c:y val="7.892206989268663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304: </a:t>
                    </a:r>
                    <a:fld id="{210C265F-733C-4CB5-99CD-8608F45D65D7}" type="YVALUE">
                      <a:rPr lang="en-US"/>
                      <a:pPr/>
                      <a:t>[Y-VÄRDE]</a:t>
                    </a:fld>
                    <a:endParaRPr lang="en-US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198-4209-BBC8-C349C3104466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198-4209-BBC8-C349C3104466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v-S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'T-x'!$Z$10:$Z$15</c:f>
              <c:numCache>
                <c:formatCode>0.0</c:formatCode>
                <c:ptCount val="6"/>
                <c:pt idx="0">
                  <c:v>-1</c:v>
                </c:pt>
                <c:pt idx="1">
                  <c:v>0</c:v>
                </c:pt>
                <c:pt idx="2">
                  <c:v>0.11</c:v>
                </c:pt>
                <c:pt idx="3">
                  <c:v>5.66</c:v>
                </c:pt>
                <c:pt idx="4">
                  <c:v>7.48</c:v>
                </c:pt>
                <c:pt idx="5">
                  <c:v>9</c:v>
                </c:pt>
              </c:numCache>
            </c:numRef>
          </c:xVal>
          <c:yVal>
            <c:numRef>
              <c:f>'T-x'!$Z$3:$Z$8</c:f>
              <c:numCache>
                <c:formatCode>0.000</c:formatCode>
                <c:ptCount val="6"/>
                <c:pt idx="0">
                  <c:v>324.68</c:v>
                </c:pt>
                <c:pt idx="1">
                  <c:v>337.55840087691718</c:v>
                </c:pt>
                <c:pt idx="2">
                  <c:v>394.1773458537487</c:v>
                </c:pt>
                <c:pt idx="3">
                  <c:v>412.91980729110719</c:v>
                </c:pt>
                <c:pt idx="4">
                  <c:v>425.87000579510067</c:v>
                </c:pt>
                <c:pt idx="5">
                  <c:v>720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198-4209-BBC8-C349C3104466}"/>
            </c:ext>
          </c:extLst>
        </c:ser>
        <c:ser>
          <c:idx val="1"/>
          <c:order val="1"/>
          <c:tx>
            <c:strRef>
              <c:f>'T-x'!$AA$2</c:f>
              <c:strCache>
                <c:ptCount val="1"/>
                <c:pt idx="0">
                  <c:v>Sanicro 38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8927606074485458E-3"/>
                  <c:y val="-0.2285824863709235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198-4209-BBC8-C349C3104466}"/>
                </c:ext>
              </c:extLst>
            </c:dLbl>
            <c:dLbl>
              <c:idx val="1"/>
              <c:layout>
                <c:manualLayout>
                  <c:x val="9.6469944967794135E-3"/>
                  <c:y val="-0.30667888161247525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198-4209-BBC8-C349C3104466}"/>
                </c:ext>
              </c:extLst>
            </c:dLbl>
            <c:dLbl>
              <c:idx val="2"/>
              <c:layout>
                <c:manualLayout>
                  <c:x val="0.1586343766513838"/>
                  <c:y val="-0.28390076633368944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198-4209-BBC8-C349C3104466}"/>
                </c:ext>
              </c:extLst>
            </c:dLbl>
            <c:dLbl>
              <c:idx val="3"/>
              <c:layout>
                <c:manualLayout>
                  <c:x val="-0.15597040557272893"/>
                  <c:y val="-0.24810658518131154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San38:</a:t>
                    </a:r>
                    <a:r>
                      <a:rPr lang="en-US" baseline="0"/>
                      <a:t> </a:t>
                    </a:r>
                    <a:fld id="{2EEAFDFD-7DCE-412C-9D50-F20C4AD0EB52}" type="YVALUE">
                      <a:rPr lang="en-US"/>
                      <a:pPr/>
                      <a:t>[Y-VÄRDE]</a:t>
                    </a:fld>
                    <a:endParaRPr lang="en-US" baseline="0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A-0198-4209-BBC8-C349C3104466}"/>
                </c:ext>
              </c:extLst>
            </c:dLbl>
            <c:dLbl>
              <c:idx val="4"/>
              <c:layout>
                <c:manualLayout>
                  <c:x val="-0.13066316924715438"/>
                  <c:y val="-0.21556642049733157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San38: </a:t>
                    </a:r>
                    <a:fld id="{886377C3-2ABD-45A0-8EB0-69F420F20C40}" type="YVALUE">
                      <a:rPr lang="en-US"/>
                      <a:pPr/>
                      <a:t>[Y-VÄRDE]</a:t>
                    </a:fld>
                    <a:endParaRPr lang="en-US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198-4209-BBC8-C349C3104466}"/>
                </c:ext>
              </c:extLst>
            </c:dLbl>
            <c:dLbl>
              <c:idx val="5"/>
              <c:layout>
                <c:manualLayout>
                  <c:x val="-8.6281306773479755E-2"/>
                  <c:y val="2.0349773461522776E-2"/>
                </c:manualLayout>
              </c:layout>
              <c:tx>
                <c:rich>
                  <a:bodyPr/>
                  <a:lstStyle/>
                  <a:p>
                    <a:fld id="{5080C4CE-13E4-46F8-90F3-BC8EB0C38E9A}" type="YVALUE">
                      <a:rPr lang="en-US" sz="1600"/>
                      <a:pPr/>
                      <a:t>[Y-VÄRDE]</a:t>
                    </a:fld>
                    <a:endParaRPr lang="sv-SE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C-0198-4209-BBC8-C349C3104466}"/>
                </c:ext>
              </c:extLst>
            </c:dLbl>
            <c:spPr>
              <a:solidFill>
                <a:schemeClr val="bg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v-S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/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'T-x'!$AA$10:$AA$15</c:f>
              <c:numCache>
                <c:formatCode>0.0</c:formatCode>
                <c:ptCount val="6"/>
                <c:pt idx="0">
                  <c:v>-1</c:v>
                </c:pt>
                <c:pt idx="1">
                  <c:v>0</c:v>
                </c:pt>
                <c:pt idx="2">
                  <c:v>0.11</c:v>
                </c:pt>
                <c:pt idx="3">
                  <c:v>5.66</c:v>
                </c:pt>
                <c:pt idx="4">
                  <c:v>7.48</c:v>
                </c:pt>
                <c:pt idx="5">
                  <c:v>9</c:v>
                </c:pt>
              </c:numCache>
            </c:numRef>
          </c:xVal>
          <c:yVal>
            <c:numRef>
              <c:f>'T-x'!$AA$3:$AA$8</c:f>
              <c:numCache>
                <c:formatCode>0.000</c:formatCode>
                <c:ptCount val="6"/>
                <c:pt idx="0">
                  <c:v>324.68</c:v>
                </c:pt>
                <c:pt idx="1">
                  <c:v>337.55840087691718</c:v>
                </c:pt>
                <c:pt idx="2">
                  <c:v>394.1773458537487</c:v>
                </c:pt>
                <c:pt idx="3">
                  <c:v>412.91980729110719</c:v>
                </c:pt>
                <c:pt idx="4">
                  <c:v>428.80938366139628</c:v>
                </c:pt>
                <c:pt idx="5">
                  <c:v>720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198-4209-BBC8-C349C3104466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axId val="1317426752"/>
        <c:axId val="1317424352"/>
      </c:scatterChart>
      <c:valAx>
        <c:axId val="1317426752"/>
        <c:scaling>
          <c:orientation val="minMax"/>
          <c:max val="9"/>
          <c:min val="-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600"/>
                  <a:t>Layers</a:t>
                </a:r>
                <a:r>
                  <a:rPr lang="en-GB" sz="1600" baseline="0"/>
                  <a:t> thickness (mm)</a:t>
                </a:r>
                <a:endParaRPr lang="en-GB" sz="1600"/>
              </a:p>
            </c:rich>
          </c:tx>
          <c:overlay val="0"/>
          <c:spPr>
            <a:solidFill>
              <a:schemeClr val="bg1"/>
            </a:solidFill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317424352"/>
        <c:crosses val="autoZero"/>
        <c:crossBetween val="midCat"/>
        <c:majorUnit val="1"/>
      </c:valAx>
      <c:valAx>
        <c:axId val="1317424352"/>
        <c:scaling>
          <c:orientation val="minMax"/>
          <c:max val="750"/>
          <c:min val="300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600"/>
                  <a:t>Temperature (</a:t>
                </a:r>
                <a:r>
                  <a:rPr lang="en-GB" sz="1600" baseline="30000"/>
                  <a:t>o</a:t>
                </a:r>
                <a:r>
                  <a:rPr lang="en-GB" sz="1600"/>
                  <a:t>C)</a:t>
                </a:r>
              </a:p>
            </c:rich>
          </c:tx>
          <c:layout>
            <c:manualLayout>
              <c:xMode val="edge"/>
              <c:yMode val="edge"/>
              <c:x val="6.2093049123180142E-3"/>
              <c:y val="0.39379966378579451"/>
            </c:manualLayout>
          </c:layout>
          <c:overlay val="0"/>
          <c:spPr>
            <a:solidFill>
              <a:schemeClr val="bg1"/>
            </a:solidFill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.000" sourceLinked="1"/>
        <c:majorTickMark val="none"/>
        <c:minorTickMark val="none"/>
        <c:tickLblPos val="nextTo"/>
        <c:crossAx val="131742675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90434781038985212"/>
          <c:y val="0.43572740975933349"/>
          <c:w val="9.1483894874293911E-2"/>
          <c:h val="8.7869974626358191E-2"/>
        </c:manualLayout>
      </c:layout>
      <c:overlay val="0"/>
      <c:spPr>
        <a:solidFill>
          <a:schemeClr val="bg1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smoothMarker"/>
        <c:varyColors val="0"/>
        <c:ser>
          <c:idx val="0"/>
          <c:order val="0"/>
          <c:tx>
            <c:strRef>
              <c:f>'k-T'!$F$2</c:f>
              <c:strCache>
                <c:ptCount val="1"/>
                <c:pt idx="0">
                  <c:v>Carbon steel (4L7)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0.20015574215704737"/>
                  <c:y val="-0.1712648290939095"/>
                </c:manualLayout>
              </c:layout>
              <c:numFmt formatCode="0.0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v-SE"/>
                </a:p>
              </c:txPr>
            </c:trendlineLbl>
          </c:trendline>
          <c:xVal>
            <c:numRef>
              <c:f>'k-T'!$E$7:$E$11</c:f>
              <c:numCache>
                <c:formatCode>0</c:formatCode>
                <c:ptCount val="5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  <c:pt idx="4">
                  <c:v>500</c:v>
                </c:pt>
              </c:numCache>
            </c:numRef>
          </c:xVal>
          <c:yVal>
            <c:numRef>
              <c:f>'k-T'!$F$7:$F$11</c:f>
              <c:numCache>
                <c:formatCode>0</c:formatCode>
                <c:ptCount val="5"/>
                <c:pt idx="0">
                  <c:v>48</c:v>
                </c:pt>
                <c:pt idx="1">
                  <c:v>47</c:v>
                </c:pt>
                <c:pt idx="2">
                  <c:v>46</c:v>
                </c:pt>
                <c:pt idx="3">
                  <c:v>44</c:v>
                </c:pt>
                <c:pt idx="4">
                  <c:v>42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6CF-41CA-A3BD-1BC0187594E4}"/>
            </c:ext>
          </c:extLst>
        </c:ser>
        <c:ser>
          <c:idx val="1"/>
          <c:order val="1"/>
          <c:tx>
            <c:strRef>
              <c:f>'k-T'!$G$2</c:f>
              <c:strCache>
                <c:ptCount val="1"/>
                <c:pt idx="0">
                  <c:v>Austenitic stainless steel (304L)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2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6.0296772844114308E-3"/>
                  <c:y val="-9.6648998530183813E-2"/>
                </c:manualLayout>
              </c:layout>
              <c:numFmt formatCode="0.0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v-SE"/>
                </a:p>
              </c:txPr>
            </c:trendlineLbl>
          </c:trendline>
          <c:xVal>
            <c:numRef>
              <c:f>('k-T'!$E$5,'k-T'!$E$7,'k-T'!$E$8,'k-T'!$E$9,'k-T'!$E$10,'k-T'!$E$11,'k-T'!$E$12,'k-T'!$E$13)</c:f>
              <c:numCache>
                <c:formatCode>0</c:formatCode>
                <c:ptCount val="8"/>
                <c:pt idx="0">
                  <c:v>20</c:v>
                </c:pt>
                <c:pt idx="1">
                  <c:v>100</c:v>
                </c:pt>
                <c:pt idx="2">
                  <c:v>200</c:v>
                </c:pt>
                <c:pt idx="3">
                  <c:v>300</c:v>
                </c:pt>
                <c:pt idx="4">
                  <c:v>400</c:v>
                </c:pt>
                <c:pt idx="5">
                  <c:v>500</c:v>
                </c:pt>
                <c:pt idx="6">
                  <c:v>600</c:v>
                </c:pt>
                <c:pt idx="7">
                  <c:v>700</c:v>
                </c:pt>
              </c:numCache>
            </c:numRef>
          </c:xVal>
          <c:yVal>
            <c:numRef>
              <c:f>('k-T'!$G$5,'k-T'!$G$7,'k-T'!$G$8,'k-T'!$G$9,'k-T'!$G$10,'k-T'!$G$11,'k-T'!$G$12,'k-T'!$G$13)</c:f>
              <c:numCache>
                <c:formatCode>0</c:formatCode>
                <c:ptCount val="8"/>
                <c:pt idx="0">
                  <c:v>15</c:v>
                </c:pt>
                <c:pt idx="1">
                  <c:v>16</c:v>
                </c:pt>
                <c:pt idx="2">
                  <c:v>18</c:v>
                </c:pt>
                <c:pt idx="3">
                  <c:v>20</c:v>
                </c:pt>
                <c:pt idx="4">
                  <c:v>22</c:v>
                </c:pt>
                <c:pt idx="5">
                  <c:v>23</c:v>
                </c:pt>
                <c:pt idx="6">
                  <c:v>25</c:v>
                </c:pt>
                <c:pt idx="7">
                  <c:v>26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6CF-41CA-A3BD-1BC0187594E4}"/>
            </c:ext>
          </c:extLst>
        </c:ser>
        <c:ser>
          <c:idx val="2"/>
          <c:order val="2"/>
          <c:tx>
            <c:strRef>
              <c:f>'k-T'!$H$2</c:f>
              <c:strCache>
                <c:ptCount val="1"/>
                <c:pt idx="0">
                  <c:v>Sanicro 38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0"/>
            <c:dispEq val="0"/>
          </c:trendline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9859140693573557"/>
                  <c:y val="0.10013429182423862"/>
                </c:manualLayout>
              </c:layout>
              <c:numFmt formatCode="0.0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v-SE"/>
                </a:p>
              </c:txPr>
            </c:trendlineLbl>
          </c:trendline>
          <c:xVal>
            <c:numRef>
              <c:f>('k-T'!$E$6,'k-T'!$E$7,'k-T'!$E$9,'k-T'!$E$11)</c:f>
              <c:numCache>
                <c:formatCode>0</c:formatCode>
                <c:ptCount val="4"/>
                <c:pt idx="0">
                  <c:v>23</c:v>
                </c:pt>
                <c:pt idx="1">
                  <c:v>100</c:v>
                </c:pt>
                <c:pt idx="2">
                  <c:v>300</c:v>
                </c:pt>
                <c:pt idx="3">
                  <c:v>500</c:v>
                </c:pt>
              </c:numCache>
            </c:numRef>
          </c:xVal>
          <c:yVal>
            <c:numRef>
              <c:f>('k-T'!$H$6,'k-T'!$H$7,'k-T'!$H$9,'k-T'!$H$11)</c:f>
              <c:numCache>
                <c:formatCode>0</c:formatCode>
                <c:ptCount val="4"/>
                <c:pt idx="0">
                  <c:v>11</c:v>
                </c:pt>
                <c:pt idx="1">
                  <c:v>12</c:v>
                </c:pt>
                <c:pt idx="2">
                  <c:v>16</c:v>
                </c:pt>
                <c:pt idx="3">
                  <c:v>19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D6CF-41CA-A3BD-1BC0187594E4}"/>
            </c:ext>
          </c:extLst>
        </c:ser>
        <c:ser>
          <c:idx val="3"/>
          <c:order val="3"/>
          <c:tx>
            <c:strRef>
              <c:f>'k-T'!$I$2</c:f>
              <c:strCache>
                <c:ptCount val="1"/>
                <c:pt idx="0">
                  <c:v>Magnetite (Fe3O4)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('k-T'!$E$7,'k-T'!$E$8,'k-T'!$E$9,'k-T'!$E$10)</c:f>
              <c:numCache>
                <c:formatCode>0</c:formatCode>
                <c:ptCount val="4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</c:numCache>
            </c:numRef>
          </c:xVal>
          <c:yVal>
            <c:numRef>
              <c:f>('k-T'!$I$7,'k-T'!$I$8,'k-T'!$I$9,'k-T'!$I$10)</c:f>
              <c:numCache>
                <c:formatCode>0.00</c:formatCode>
                <c:ptCount val="4"/>
                <c:pt idx="0">
                  <c:v>3.72</c:v>
                </c:pt>
                <c:pt idx="1">
                  <c:v>3.58</c:v>
                </c:pt>
                <c:pt idx="2">
                  <c:v>3.44</c:v>
                </c:pt>
                <c:pt idx="3">
                  <c:v>3.31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D6CF-41CA-A3BD-1BC0187594E4}"/>
            </c:ext>
          </c:extLst>
        </c:ser>
        <c:ser>
          <c:idx val="4"/>
          <c:order val="4"/>
          <c:tx>
            <c:strRef>
              <c:f>'k-T'!$J$2</c:f>
              <c:strCache>
                <c:ptCount val="1"/>
                <c:pt idx="0">
                  <c:v>Hematite (Fe2O3)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('k-T'!$E$7,'k-T'!$E$8,'k-T'!$E$9,'k-T'!$E$10)</c:f>
              <c:numCache>
                <c:formatCode>0</c:formatCode>
                <c:ptCount val="4"/>
                <c:pt idx="0">
                  <c:v>100</c:v>
                </c:pt>
                <c:pt idx="1">
                  <c:v>200</c:v>
                </c:pt>
                <c:pt idx="2">
                  <c:v>300</c:v>
                </c:pt>
                <c:pt idx="3">
                  <c:v>400</c:v>
                </c:pt>
              </c:numCache>
            </c:numRef>
          </c:xVal>
          <c:yVal>
            <c:numRef>
              <c:f>('k-T'!$J$7,'k-T'!$J$8,'k-T'!$J$9,'k-T'!$J$10)</c:f>
              <c:numCache>
                <c:formatCode>0.00</c:formatCode>
                <c:ptCount val="4"/>
                <c:pt idx="0">
                  <c:v>5.92</c:v>
                </c:pt>
                <c:pt idx="1">
                  <c:v>2.25</c:v>
                </c:pt>
                <c:pt idx="2">
                  <c:v>4.59</c:v>
                </c:pt>
                <c:pt idx="3">
                  <c:v>3.93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D6CF-41CA-A3BD-1BC0187594E4}"/>
            </c:ext>
          </c:extLst>
        </c:ser>
        <c:ser>
          <c:idx val="5"/>
          <c:order val="5"/>
          <c:tx>
            <c:strRef>
              <c:f>'k-T'!$O$2</c:f>
              <c:strCache>
                <c:ptCount val="1"/>
                <c:pt idx="0">
                  <c:v>Smelt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'k-T'!$L$5:$L$6</c:f>
              <c:numCache>
                <c:formatCode>General</c:formatCode>
                <c:ptCount val="2"/>
                <c:pt idx="0">
                  <c:v>0</c:v>
                </c:pt>
                <c:pt idx="1">
                  <c:v>700</c:v>
                </c:pt>
              </c:numCache>
            </c:numRef>
          </c:xVal>
          <c:yVal>
            <c:numRef>
              <c:f>'k-T'!$O$5:$O$6</c:f>
              <c:numCache>
                <c:formatCode>General</c:formatCode>
                <c:ptCount val="2"/>
                <c:pt idx="0">
                  <c:v>0.6</c:v>
                </c:pt>
                <c:pt idx="1">
                  <c:v>0.6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D6CF-41CA-A3BD-1BC0187594E4}"/>
            </c:ext>
          </c:extLst>
        </c:ser>
        <c:ser>
          <c:idx val="6"/>
          <c:order val="6"/>
          <c:tx>
            <c:strRef>
              <c:f>'k-T'!$N$2</c:f>
              <c:strCache>
                <c:ptCount val="1"/>
                <c:pt idx="0">
                  <c:v>Deposits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'k-T'!$L$5:$L$6</c:f>
              <c:numCache>
                <c:formatCode>General</c:formatCode>
                <c:ptCount val="2"/>
                <c:pt idx="0">
                  <c:v>0</c:v>
                </c:pt>
                <c:pt idx="1">
                  <c:v>700</c:v>
                </c:pt>
              </c:numCache>
            </c:numRef>
          </c:xVal>
          <c:yVal>
            <c:numRef>
              <c:f>'k-T'!$N$5:$N$6</c:f>
              <c:numCache>
                <c:formatCode>General</c:formatCode>
                <c:ptCount val="2"/>
                <c:pt idx="0">
                  <c:v>0.3</c:v>
                </c:pt>
                <c:pt idx="1">
                  <c:v>0.3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963F-4C72-A550-D83CAA6BD6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66563776"/>
        <c:axId val="2066548896"/>
      </c:scatterChart>
      <c:valAx>
        <c:axId val="2066563776"/>
        <c:scaling>
          <c:orientation val="minMax"/>
          <c:max val="70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Temperature (</a:t>
                </a:r>
                <a:r>
                  <a:rPr lang="en-GB" sz="1200" b="0" i="0" u="none" strike="noStrike" kern="120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o</a:t>
                </a:r>
                <a:r>
                  <a:rPr lang="en-GB" sz="12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C)</a:t>
                </a:r>
                <a:r>
                  <a:rPr lang="en-GB" sz="12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2066548896"/>
        <c:crosses val="autoZero"/>
        <c:crossBetween val="midCat"/>
      </c:valAx>
      <c:valAx>
        <c:axId val="20665488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Thermal conductivity (W/mK)</a:t>
                </a:r>
                <a:r>
                  <a:rPr lang="en-GB" sz="12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2066563776"/>
        <c:crosses val="autoZero"/>
        <c:crossBetween val="midCat"/>
        <c:majorUnit val="5"/>
      </c:valAx>
      <c:spPr>
        <a:noFill/>
        <a:ln>
          <a:noFill/>
        </a:ln>
        <a:effectLst/>
      </c:spPr>
    </c:plotArea>
    <c:legend>
      <c:legendPos val="r"/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'CR-T'!$J$2</c:f>
              <c:strCache>
                <c:ptCount val="1"/>
                <c:pt idx="0">
                  <c:v>AISI 304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-0.12518503132234321"/>
                  <c:y val="4.0765538557918639E-2"/>
                </c:manualLayout>
              </c:layout>
              <c:numFmt formatCode="0.0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v-SE"/>
                </a:p>
              </c:txPr>
            </c:trendlineLbl>
          </c:trendline>
          <c:xVal>
            <c:numRef>
              <c:f>'CR-T'!$C$4:$C$8</c:f>
              <c:numCache>
                <c:formatCode>0.000</c:formatCode>
                <c:ptCount val="5"/>
                <c:pt idx="1">
                  <c:v>381.05898429441402</c:v>
                </c:pt>
                <c:pt idx="2">
                  <c:v>440</c:v>
                </c:pt>
                <c:pt idx="4">
                  <c:v>655.14342960768454</c:v>
                </c:pt>
              </c:numCache>
            </c:numRef>
          </c:xVal>
          <c:yVal>
            <c:numRef>
              <c:f>'CR-T'!$D$4:$D$8</c:f>
              <c:numCache>
                <c:formatCode>0.000</c:formatCode>
                <c:ptCount val="5"/>
                <c:pt idx="1">
                  <c:v>5.9279999999999999E-2</c:v>
                </c:pt>
                <c:pt idx="2">
                  <c:v>0.6</c:v>
                </c:pt>
                <c:pt idx="4">
                  <c:v>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B70-42DC-B055-E480F7A91716}"/>
            </c:ext>
          </c:extLst>
        </c:ser>
        <c:ser>
          <c:idx val="3"/>
          <c:order val="1"/>
          <c:tx>
            <c:strRef>
              <c:f>'CR-T'!$K$2</c:f>
              <c:strCache>
                <c:ptCount val="1"/>
                <c:pt idx="0">
                  <c:v>Sanicro 38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0"/>
          </c:trendline>
          <c:trendline>
            <c:spPr>
              <a:ln w="19050" cap="rnd">
                <a:solidFill>
                  <a:schemeClr val="accent4"/>
                </a:solidFill>
                <a:prstDash val="sysDot"/>
              </a:ln>
              <a:effectLst/>
            </c:spPr>
            <c:trendlineType val="poly"/>
            <c:order val="2"/>
            <c:dispRSqr val="1"/>
            <c:dispEq val="1"/>
            <c:trendlineLbl>
              <c:layout>
                <c:manualLayout>
                  <c:x val="0.39218540426244614"/>
                  <c:y val="-0.14391275007024767"/>
                </c:manualLayout>
              </c:layout>
              <c:numFmt formatCode="0.0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v-SE"/>
                </a:p>
              </c:txPr>
            </c:trendlineLbl>
          </c:trendline>
          <c:xVal>
            <c:numRef>
              <c:f>'CR-T'!$E$4:$E$7</c:f>
              <c:numCache>
                <c:formatCode>0.000</c:formatCode>
                <c:ptCount val="4"/>
                <c:pt idx="0">
                  <c:v>374.65006424048664</c:v>
                </c:pt>
                <c:pt idx="2">
                  <c:v>440</c:v>
                </c:pt>
                <c:pt idx="3">
                  <c:v>490</c:v>
                </c:pt>
              </c:numCache>
            </c:numRef>
          </c:xVal>
          <c:yVal>
            <c:numRef>
              <c:f>'CR-T'!$F$4:$F$7</c:f>
              <c:numCache>
                <c:formatCode>0.000</c:formatCode>
                <c:ptCount val="4"/>
                <c:pt idx="0">
                  <c:v>0</c:v>
                </c:pt>
                <c:pt idx="2">
                  <c:v>7.0000000000000007E-2</c:v>
                </c:pt>
                <c:pt idx="3">
                  <c:v>0.2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EC7-4730-A682-29042E9E3A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5684639"/>
        <c:axId val="765674079"/>
      </c:scatterChart>
      <c:valAx>
        <c:axId val="765684639"/>
        <c:scaling>
          <c:orientation val="minMax"/>
          <c:max val="700"/>
          <c:min val="3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Temperature (</a:t>
                </a:r>
                <a:r>
                  <a:rPr lang="en-GB" sz="1200" b="0" i="0" u="none" strike="noStrike" kern="1200" baseline="3000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o</a:t>
                </a:r>
                <a:r>
                  <a:rPr lang="en-GB" sz="12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  <a:effectLst/>
                  </a:rPr>
                  <a:t>C)</a:t>
                </a:r>
                <a:endParaRPr lang="en-GB" sz="1200" b="0" i="0" u="none" strike="noStrike" kern="1200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765674079"/>
        <c:crosses val="autoZero"/>
        <c:crossBetween val="midCat"/>
      </c:valAx>
      <c:valAx>
        <c:axId val="765674079"/>
        <c:scaling>
          <c:orientation val="minMax"/>
          <c:max val="2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Corrosion rate (mm/y)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76568463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392314639386097E-2"/>
          <c:y val="2.792466404855333E-2"/>
          <c:w val="0.90454490482655137"/>
          <c:h val="0.9201516477107027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'CR-T'!$V$44:$V$49</c:f>
              <c:strCache>
                <c:ptCount val="6"/>
                <c:pt idx="0">
                  <c:v>(Tavares &amp; Karjunen, 2020)</c:v>
                </c:pt>
              </c:strCache>
            </c:strRef>
          </c:tx>
          <c:spPr>
            <a:ln w="19050" cap="rnd">
              <a:solidFill>
                <a:schemeClr val="accent3">
                  <a:shade val="38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38000"/>
                </a:schemeClr>
              </a:solidFill>
              <a:ln w="9525">
                <a:solidFill>
                  <a:schemeClr val="accent3">
                    <a:shade val="38000"/>
                  </a:schemeClr>
                </a:solidFill>
              </a:ln>
              <a:effectLst/>
            </c:spPr>
          </c:marker>
          <c:xVal>
            <c:numRef>
              <c:f>'CR-T'!$P$44:$P$49</c:f>
              <c:numCache>
                <c:formatCode>General</c:formatCode>
                <c:ptCount val="6"/>
                <c:pt idx="0">
                  <c:v>250</c:v>
                </c:pt>
                <c:pt idx="1">
                  <c:v>300</c:v>
                </c:pt>
                <c:pt idx="2">
                  <c:v>350</c:v>
                </c:pt>
                <c:pt idx="3">
                  <c:v>400</c:v>
                </c:pt>
                <c:pt idx="4">
                  <c:v>450</c:v>
                </c:pt>
                <c:pt idx="5">
                  <c:v>500</c:v>
                </c:pt>
              </c:numCache>
            </c:numRef>
          </c:xVal>
          <c:yVal>
            <c:numRef>
              <c:f>'CR-T'!$R$44:$R$49</c:f>
              <c:numCache>
                <c:formatCode>General</c:formatCode>
                <c:ptCount val="6"/>
                <c:pt idx="0">
                  <c:v>0</c:v>
                </c:pt>
                <c:pt idx="1">
                  <c:v>0.1</c:v>
                </c:pt>
                <c:pt idx="2">
                  <c:v>0.3</c:v>
                </c:pt>
                <c:pt idx="3">
                  <c:v>0.6</c:v>
                </c:pt>
                <c:pt idx="4">
                  <c:v>1.4</c:v>
                </c:pt>
                <c:pt idx="5">
                  <c:v>2.1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FCAC-4B0C-B902-51E71582E23D}"/>
            </c:ext>
          </c:extLst>
        </c:ser>
        <c:ser>
          <c:idx val="1"/>
          <c:order val="1"/>
          <c:tx>
            <c:strRef>
              <c:f>'CR-T'!$V$77</c:f>
              <c:strCache>
                <c:ptCount val="1"/>
                <c:pt idx="0">
                  <c:v>(Pohjanne, 2013)</c:v>
                </c:pt>
              </c:strCache>
            </c:strRef>
          </c:tx>
          <c:spPr>
            <a:ln w="19050" cap="rnd">
              <a:solidFill>
                <a:schemeClr val="accent3">
                  <a:shade val="47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47000"/>
                </a:schemeClr>
              </a:solidFill>
              <a:ln w="9525">
                <a:solidFill>
                  <a:schemeClr val="accent3">
                    <a:shade val="47000"/>
                  </a:schemeClr>
                </a:solidFill>
              </a:ln>
              <a:effectLst/>
            </c:spPr>
          </c:marker>
          <c:xVal>
            <c:numRef>
              <c:f>'CR-T'!$P$77</c:f>
              <c:numCache>
                <c:formatCode>General</c:formatCode>
                <c:ptCount val="1"/>
                <c:pt idx="0">
                  <c:v>440</c:v>
                </c:pt>
              </c:numCache>
            </c:numRef>
          </c:xVal>
          <c:yVal>
            <c:numRef>
              <c:f>'CR-T'!$R$77</c:f>
              <c:numCache>
                <c:formatCode>General</c:formatCode>
                <c:ptCount val="1"/>
                <c:pt idx="0">
                  <c:v>0.6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FCAC-4B0C-B902-51E71582E23D}"/>
            </c:ext>
          </c:extLst>
        </c:ser>
        <c:ser>
          <c:idx val="2"/>
          <c:order val="2"/>
          <c:tx>
            <c:strRef>
              <c:f>'CR-T'!$V$50:$V$57</c:f>
              <c:strCache>
                <c:ptCount val="8"/>
                <c:pt idx="0">
                  <c:v>(Salmenoja and Tuiremo, 2001 from Vakkilainen, 2005)</c:v>
                </c:pt>
              </c:strCache>
            </c:strRef>
          </c:tx>
          <c:spPr>
            <a:ln w="19050" cap="rnd">
              <a:solidFill>
                <a:schemeClr val="accent3">
                  <a:shade val="56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56000"/>
                </a:schemeClr>
              </a:solidFill>
              <a:ln w="9525">
                <a:solidFill>
                  <a:schemeClr val="accent3">
                    <a:shade val="56000"/>
                  </a:schemeClr>
                </a:solidFill>
              </a:ln>
              <a:effectLst/>
            </c:spPr>
          </c:marker>
          <c:xVal>
            <c:numRef>
              <c:f>'CR-T'!$P$52:$P$57</c:f>
              <c:numCache>
                <c:formatCode>General</c:formatCode>
                <c:ptCount val="6"/>
                <c:pt idx="0">
                  <c:v>350</c:v>
                </c:pt>
                <c:pt idx="1">
                  <c:v>400</c:v>
                </c:pt>
                <c:pt idx="2">
                  <c:v>450</c:v>
                </c:pt>
                <c:pt idx="3">
                  <c:v>500</c:v>
                </c:pt>
                <c:pt idx="4">
                  <c:v>550</c:v>
                </c:pt>
                <c:pt idx="5">
                  <c:v>600</c:v>
                </c:pt>
              </c:numCache>
            </c:numRef>
          </c:xVal>
          <c:yVal>
            <c:numRef>
              <c:f>'CR-T'!$R$52:$R$57</c:f>
              <c:numCache>
                <c:formatCode>General</c:formatCode>
                <c:ptCount val="6"/>
                <c:pt idx="0">
                  <c:v>0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0.8</c:v>
                </c:pt>
                <c:pt idx="5">
                  <c:v>1.3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FCAC-4B0C-B902-51E71582E23D}"/>
            </c:ext>
          </c:extLst>
        </c:ser>
        <c:ser>
          <c:idx val="3"/>
          <c:order val="3"/>
          <c:tx>
            <c:strRef>
              <c:f>'CR-T'!$V$58:$V$59</c:f>
              <c:strCache>
                <c:ptCount val="2"/>
                <c:pt idx="0">
                  <c:v>(Mäkipää et al., 2001)</c:v>
                </c:pt>
              </c:strCache>
            </c:strRef>
          </c:tx>
          <c:spPr>
            <a:ln w="19050" cap="rnd">
              <a:solidFill>
                <a:schemeClr val="accent3">
                  <a:shade val="6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65000"/>
                </a:schemeClr>
              </a:solidFill>
              <a:ln w="9525">
                <a:solidFill>
                  <a:schemeClr val="accent3">
                    <a:shade val="65000"/>
                  </a:schemeClr>
                </a:solidFill>
              </a:ln>
              <a:effectLst/>
            </c:spPr>
          </c:marker>
          <c:xVal>
            <c:numRef>
              <c:f>'CR-T'!$P$58:$P$59</c:f>
              <c:numCache>
                <c:formatCode>General</c:formatCode>
                <c:ptCount val="2"/>
                <c:pt idx="0">
                  <c:v>360</c:v>
                </c:pt>
                <c:pt idx="1">
                  <c:v>400</c:v>
                </c:pt>
              </c:numCache>
            </c:numRef>
          </c:xVal>
          <c:yVal>
            <c:numRef>
              <c:f>'CR-T'!$R$58:$R$59</c:f>
              <c:numCache>
                <c:formatCode>General</c:formatCode>
                <c:ptCount val="2"/>
                <c:pt idx="0">
                  <c:v>0.02</c:v>
                </c:pt>
                <c:pt idx="1">
                  <c:v>0.05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FCAC-4B0C-B902-51E71582E23D}"/>
            </c:ext>
          </c:extLst>
        </c:ser>
        <c:ser>
          <c:idx val="4"/>
          <c:order val="4"/>
          <c:tx>
            <c:strRef>
              <c:f>'CR-T'!$V$60:$V$63</c:f>
              <c:strCache>
                <c:ptCount val="4"/>
                <c:pt idx="0">
                  <c:v>(Nickel, n.d.)</c:v>
                </c:pt>
              </c:strCache>
            </c:strRef>
          </c:tx>
          <c:spPr>
            <a:ln w="19050" cap="rnd">
              <a:solidFill>
                <a:schemeClr val="accent3">
                  <a:shade val="73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73000"/>
                </a:schemeClr>
              </a:solidFill>
              <a:ln w="9525">
                <a:solidFill>
                  <a:schemeClr val="accent3">
                    <a:shade val="73000"/>
                  </a:schemeClr>
                </a:solidFill>
              </a:ln>
              <a:effectLst/>
            </c:spPr>
          </c:marker>
          <c:xVal>
            <c:numRef>
              <c:f>'CR-T'!$P$60:$P$63</c:f>
              <c:numCache>
                <c:formatCode>General</c:formatCode>
                <c:ptCount val="4"/>
                <c:pt idx="0">
                  <c:v>300</c:v>
                </c:pt>
                <c:pt idx="1">
                  <c:v>350</c:v>
                </c:pt>
                <c:pt idx="2">
                  <c:v>400</c:v>
                </c:pt>
                <c:pt idx="3">
                  <c:v>450</c:v>
                </c:pt>
              </c:numCache>
            </c:numRef>
          </c:xVal>
          <c:yVal>
            <c:numRef>
              <c:f>'CR-T'!$R$60:$R$63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FCAC-4B0C-B902-51E71582E23D}"/>
            </c:ext>
          </c:extLst>
        </c:ser>
        <c:ser>
          <c:idx val="5"/>
          <c:order val="5"/>
          <c:tx>
            <c:strRef>
              <c:f>'CR-T'!$V$64:$V$72</c:f>
              <c:strCache>
                <c:ptCount val="9"/>
                <c:pt idx="0">
                  <c:v>(Nimmervoll et al., 2022)</c:v>
                </c:pt>
              </c:strCache>
            </c:strRef>
          </c:tx>
          <c:spPr>
            <a:ln w="19050" cap="rnd">
              <a:solidFill>
                <a:schemeClr val="accent3">
                  <a:shade val="82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82000"/>
                </a:schemeClr>
              </a:solidFill>
              <a:ln w="9525">
                <a:solidFill>
                  <a:schemeClr val="accent3">
                    <a:shade val="82000"/>
                  </a:schemeClr>
                </a:solidFill>
              </a:ln>
              <a:effectLst/>
            </c:spPr>
          </c:marker>
          <c:xVal>
            <c:numRef>
              <c:f>'CR-T'!$P$64:$P$66</c:f>
              <c:numCache>
                <c:formatCode>General</c:formatCode>
                <c:ptCount val="3"/>
                <c:pt idx="0">
                  <c:v>420</c:v>
                </c:pt>
                <c:pt idx="1">
                  <c:v>480</c:v>
                </c:pt>
                <c:pt idx="2">
                  <c:v>580</c:v>
                </c:pt>
              </c:numCache>
            </c:numRef>
          </c:xVal>
          <c:yVal>
            <c:numRef>
              <c:f>'CR-T'!$R$64:$R$66</c:f>
              <c:numCache>
                <c:formatCode>General</c:formatCode>
                <c:ptCount val="3"/>
                <c:pt idx="0">
                  <c:v>0.12</c:v>
                </c:pt>
                <c:pt idx="1">
                  <c:v>0.23</c:v>
                </c:pt>
                <c:pt idx="2">
                  <c:v>0.8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FCAC-4B0C-B902-51E71582E23D}"/>
            </c:ext>
          </c:extLst>
        </c:ser>
        <c:ser>
          <c:idx val="6"/>
          <c:order val="6"/>
          <c:tx>
            <c:strRef>
              <c:f>'CR-T'!$V$64:$V$72</c:f>
              <c:strCache>
                <c:ptCount val="9"/>
                <c:pt idx="0">
                  <c:v>(Nimmervoll et al., 2022)</c:v>
                </c:pt>
              </c:strCache>
            </c:strRef>
          </c:tx>
          <c:spPr>
            <a:ln w="19050" cap="rnd">
              <a:solidFill>
                <a:schemeClr val="accent3">
                  <a:shade val="91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91000"/>
                </a:schemeClr>
              </a:solidFill>
              <a:ln w="9525">
                <a:solidFill>
                  <a:schemeClr val="accent3">
                    <a:shade val="91000"/>
                  </a:schemeClr>
                </a:solidFill>
              </a:ln>
              <a:effectLst/>
            </c:spPr>
          </c:marker>
          <c:xVal>
            <c:numRef>
              <c:f>'CR-T'!$P$67:$P$69</c:f>
              <c:numCache>
                <c:formatCode>General</c:formatCode>
                <c:ptCount val="3"/>
                <c:pt idx="0">
                  <c:v>420</c:v>
                </c:pt>
                <c:pt idx="1">
                  <c:v>480</c:v>
                </c:pt>
                <c:pt idx="2">
                  <c:v>580</c:v>
                </c:pt>
              </c:numCache>
            </c:numRef>
          </c:xVal>
          <c:yVal>
            <c:numRef>
              <c:f>'CR-T'!$R$67:$R$69</c:f>
              <c:numCache>
                <c:formatCode>General</c:formatCode>
                <c:ptCount val="3"/>
                <c:pt idx="0">
                  <c:v>0.12</c:v>
                </c:pt>
                <c:pt idx="1">
                  <c:v>0.27</c:v>
                </c:pt>
                <c:pt idx="2">
                  <c:v>0.95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FCAC-4B0C-B902-51E71582E23D}"/>
            </c:ext>
          </c:extLst>
        </c:ser>
        <c:ser>
          <c:idx val="7"/>
          <c:order val="7"/>
          <c:tx>
            <c:strRef>
              <c:f>'CR-T'!$V$64:$V$72</c:f>
              <c:strCache>
                <c:ptCount val="9"/>
                <c:pt idx="0">
                  <c:v>(Nimmervoll et al., 2022)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'CR-T'!$P$70:$P$72</c:f>
              <c:numCache>
                <c:formatCode>General</c:formatCode>
                <c:ptCount val="3"/>
                <c:pt idx="0">
                  <c:v>420</c:v>
                </c:pt>
                <c:pt idx="1">
                  <c:v>480</c:v>
                </c:pt>
                <c:pt idx="2">
                  <c:v>580</c:v>
                </c:pt>
              </c:numCache>
            </c:numRef>
          </c:xVal>
          <c:yVal>
            <c:numRef>
              <c:f>'CR-T'!$R$70:$R$72</c:f>
              <c:numCache>
                <c:formatCode>General</c:formatCode>
                <c:ptCount val="3"/>
                <c:pt idx="0">
                  <c:v>0.16</c:v>
                </c:pt>
                <c:pt idx="1">
                  <c:v>0.28000000000000003</c:v>
                </c:pt>
                <c:pt idx="2">
                  <c:v>1.32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FCAC-4B0C-B902-51E71582E23D}"/>
            </c:ext>
          </c:extLst>
        </c:ser>
        <c:ser>
          <c:idx val="8"/>
          <c:order val="8"/>
          <c:tx>
            <c:strRef>
              <c:f>'CR-T'!$V$73:$V$76</c:f>
              <c:strCache>
                <c:ptCount val="4"/>
                <c:pt idx="0">
                  <c:v>(Yli-Olli et al., 2007)</c:v>
                </c:pt>
              </c:strCache>
            </c:strRef>
          </c:tx>
          <c:spPr>
            <a:ln w="19050" cap="rnd">
              <a:solidFill>
                <a:schemeClr val="accent3">
                  <a:tint val="92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92000"/>
                </a:schemeClr>
              </a:solidFill>
              <a:ln w="9525">
                <a:solidFill>
                  <a:schemeClr val="accent3">
                    <a:tint val="92000"/>
                  </a:schemeClr>
                </a:solidFill>
              </a:ln>
              <a:effectLst/>
            </c:spPr>
          </c:marker>
          <c:xVal>
            <c:numRef>
              <c:f>'CR-T'!$P$73:$P$76</c:f>
              <c:numCache>
                <c:formatCode>General</c:formatCode>
                <c:ptCount val="4"/>
                <c:pt idx="0">
                  <c:v>440</c:v>
                </c:pt>
                <c:pt idx="1">
                  <c:v>440</c:v>
                </c:pt>
                <c:pt idx="2">
                  <c:v>440</c:v>
                </c:pt>
                <c:pt idx="3">
                  <c:v>440</c:v>
                </c:pt>
              </c:numCache>
            </c:numRef>
          </c:xVal>
          <c:yVal>
            <c:numRef>
              <c:f>'CR-T'!$R$73:$R$76</c:f>
              <c:numCache>
                <c:formatCode>0.00</c:formatCode>
                <c:ptCount val="4"/>
                <c:pt idx="0">
                  <c:v>5.0632911392405063E-2</c:v>
                </c:pt>
                <c:pt idx="1">
                  <c:v>7.5949367088607583E-2</c:v>
                </c:pt>
                <c:pt idx="2">
                  <c:v>6.3291139240506319E-2</c:v>
                </c:pt>
                <c:pt idx="3">
                  <c:v>8.8607594936708861E-2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FCAC-4B0C-B902-51E71582E23D}"/>
            </c:ext>
          </c:extLst>
        </c:ser>
        <c:ser>
          <c:idx val="9"/>
          <c:order val="9"/>
          <c:tx>
            <c:strRef>
              <c:f>'CR-T'!$V$44:$V$49</c:f>
              <c:strCache>
                <c:ptCount val="6"/>
                <c:pt idx="0">
                  <c:v>(Tavares &amp; Karjunen, 2020)</c:v>
                </c:pt>
              </c:strCache>
            </c:strRef>
          </c:tx>
          <c:spPr>
            <a:ln w="19050" cap="rnd">
              <a:solidFill>
                <a:schemeClr val="accent3">
                  <a:tint val="83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83000"/>
                </a:schemeClr>
              </a:solidFill>
              <a:ln w="9525">
                <a:solidFill>
                  <a:schemeClr val="accent3">
                    <a:tint val="83000"/>
                  </a:schemeClr>
                </a:solidFill>
              </a:ln>
              <a:effectLst/>
            </c:spPr>
          </c:marker>
          <c:xVal>
            <c:numRef>
              <c:f>'CR-T'!$P$47:$P$49</c:f>
              <c:numCache>
                <c:formatCode>General</c:formatCode>
                <c:ptCount val="3"/>
                <c:pt idx="0">
                  <c:v>400</c:v>
                </c:pt>
                <c:pt idx="1">
                  <c:v>450</c:v>
                </c:pt>
                <c:pt idx="2">
                  <c:v>500</c:v>
                </c:pt>
              </c:numCache>
            </c:numRef>
          </c:xVal>
          <c:yVal>
            <c:numRef>
              <c:f>'CR-T'!$S$47:$S$49</c:f>
              <c:numCache>
                <c:formatCode>General</c:formatCode>
                <c:ptCount val="3"/>
                <c:pt idx="0">
                  <c:v>0</c:v>
                </c:pt>
                <c:pt idx="1">
                  <c:v>0.2</c:v>
                </c:pt>
                <c:pt idx="2">
                  <c:v>0.3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FCAC-4B0C-B902-51E71582E23D}"/>
            </c:ext>
          </c:extLst>
        </c:ser>
        <c:ser>
          <c:idx val="10"/>
          <c:order val="10"/>
          <c:tx>
            <c:strRef>
              <c:f>'CR-T'!$V$77</c:f>
              <c:strCache>
                <c:ptCount val="1"/>
                <c:pt idx="0">
                  <c:v>(Pohjanne, 2013)</c:v>
                </c:pt>
              </c:strCache>
            </c:strRef>
          </c:tx>
          <c:spPr>
            <a:ln w="19050" cap="rnd">
              <a:solidFill>
                <a:schemeClr val="accent3">
                  <a:tint val="74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74000"/>
                </a:schemeClr>
              </a:solidFill>
              <a:ln w="9525">
                <a:solidFill>
                  <a:schemeClr val="accent3">
                    <a:tint val="74000"/>
                  </a:schemeClr>
                </a:solidFill>
              </a:ln>
              <a:effectLst/>
            </c:spPr>
          </c:marker>
          <c:xVal>
            <c:numRef>
              <c:f>'CR-T'!$P$77</c:f>
              <c:numCache>
                <c:formatCode>General</c:formatCode>
                <c:ptCount val="1"/>
                <c:pt idx="0">
                  <c:v>440</c:v>
                </c:pt>
              </c:numCache>
            </c:numRef>
          </c:xVal>
          <c:yVal>
            <c:numRef>
              <c:f>'CR-T'!$S$77</c:f>
              <c:numCache>
                <c:formatCode>General</c:formatCode>
                <c:ptCount val="1"/>
                <c:pt idx="0">
                  <c:v>7.0000000000000007E-2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FCAC-4B0C-B902-51E71582E23D}"/>
            </c:ext>
          </c:extLst>
        </c:ser>
        <c:ser>
          <c:idx val="11"/>
          <c:order val="11"/>
          <c:tx>
            <c:strRef>
              <c:f>'CR-T'!$V$58:$V$59</c:f>
              <c:strCache>
                <c:ptCount val="2"/>
                <c:pt idx="0">
                  <c:v>(Mäkipää et al., 2001)</c:v>
                </c:pt>
              </c:strCache>
            </c:strRef>
          </c:tx>
          <c:spPr>
            <a:ln w="19050" cap="rnd">
              <a:solidFill>
                <a:schemeClr val="accent3">
                  <a:tint val="6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65000"/>
                </a:schemeClr>
              </a:solidFill>
              <a:ln w="9525">
                <a:solidFill>
                  <a:schemeClr val="accent3">
                    <a:tint val="65000"/>
                  </a:schemeClr>
                </a:solidFill>
              </a:ln>
              <a:effectLst/>
            </c:spPr>
          </c:marker>
          <c:xVal>
            <c:numRef>
              <c:f>'CR-T'!$P$58:$P$59</c:f>
              <c:numCache>
                <c:formatCode>General</c:formatCode>
                <c:ptCount val="2"/>
                <c:pt idx="0">
                  <c:v>360</c:v>
                </c:pt>
                <c:pt idx="1">
                  <c:v>400</c:v>
                </c:pt>
              </c:numCache>
            </c:numRef>
          </c:xVal>
          <c:yVal>
            <c:numRef>
              <c:f>'CR-T'!$S$58:$S$59</c:f>
              <c:numCache>
                <c:formatCode>General</c:formatCode>
                <c:ptCount val="2"/>
                <c:pt idx="0">
                  <c:v>0.02</c:v>
                </c:pt>
                <c:pt idx="1">
                  <c:v>0.15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FCAC-4B0C-B902-51E71582E23D}"/>
            </c:ext>
          </c:extLst>
        </c:ser>
        <c:ser>
          <c:idx val="12"/>
          <c:order val="12"/>
          <c:tx>
            <c:strRef>
              <c:f>'CR-T'!$V$73:$V$76</c:f>
              <c:strCache>
                <c:ptCount val="4"/>
                <c:pt idx="0">
                  <c:v>(Yli-Olli et al., 2007)</c:v>
                </c:pt>
              </c:strCache>
            </c:strRef>
          </c:tx>
          <c:spPr>
            <a:ln w="19050" cap="rnd">
              <a:solidFill>
                <a:schemeClr val="accent3">
                  <a:tint val="57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57000"/>
                </a:schemeClr>
              </a:solidFill>
              <a:ln w="9525">
                <a:solidFill>
                  <a:schemeClr val="accent3">
                    <a:tint val="57000"/>
                  </a:schemeClr>
                </a:solidFill>
              </a:ln>
              <a:effectLst/>
            </c:spPr>
          </c:marker>
          <c:xVal>
            <c:numRef>
              <c:f>'CR-T'!$P$73:$P$76</c:f>
              <c:numCache>
                <c:formatCode>General</c:formatCode>
                <c:ptCount val="4"/>
                <c:pt idx="0">
                  <c:v>440</c:v>
                </c:pt>
                <c:pt idx="1">
                  <c:v>440</c:v>
                </c:pt>
                <c:pt idx="2">
                  <c:v>440</c:v>
                </c:pt>
                <c:pt idx="3">
                  <c:v>440</c:v>
                </c:pt>
              </c:numCache>
            </c:numRef>
          </c:xVal>
          <c:yVal>
            <c:numRef>
              <c:f>'CR-T'!$S$73:$S$76</c:f>
              <c:numCache>
                <c:formatCode>0.00</c:formatCode>
                <c:ptCount val="4"/>
                <c:pt idx="0">
                  <c:v>9.876543209876544E-2</c:v>
                </c:pt>
                <c:pt idx="1">
                  <c:v>0.14814814814814814</c:v>
                </c:pt>
                <c:pt idx="2">
                  <c:v>0.12962962962962965</c:v>
                </c:pt>
                <c:pt idx="3">
                  <c:v>0.20370370370370372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FCAC-4B0C-B902-51E71582E23D}"/>
            </c:ext>
          </c:extLst>
        </c:ser>
        <c:ser>
          <c:idx val="13"/>
          <c:order val="13"/>
          <c:tx>
            <c:strRef>
              <c:f>'CR-T'!$J$2</c:f>
              <c:strCache>
                <c:ptCount val="1"/>
                <c:pt idx="0">
                  <c:v>AISI 304</c:v>
                </c:pt>
              </c:strCache>
            </c:strRef>
          </c:tx>
          <c:spPr>
            <a:ln w="190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FF0000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-4.0221854898417541E-3"/>
                  <c:y val="-0.11219931478030895"/>
                </c:manualLayout>
              </c:layout>
              <c:numFmt formatCode="0.0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v-SE"/>
                </a:p>
              </c:txPr>
            </c:trendlineLbl>
          </c:trendline>
          <c:xVal>
            <c:numRef>
              <c:f>('CR-T'!$C$5,'CR-T'!$C$6,'CR-T'!$C$8)</c:f>
              <c:numCache>
                <c:formatCode>0.000</c:formatCode>
                <c:ptCount val="3"/>
                <c:pt idx="0">
                  <c:v>381.05898429441402</c:v>
                </c:pt>
                <c:pt idx="1">
                  <c:v>440</c:v>
                </c:pt>
                <c:pt idx="2">
                  <c:v>655.14342960768454</c:v>
                </c:pt>
              </c:numCache>
            </c:numRef>
          </c:xVal>
          <c:yVal>
            <c:numRef>
              <c:f>('CR-T'!$D$5,'CR-T'!$D$6,'CR-T'!$D$8)</c:f>
              <c:numCache>
                <c:formatCode>0.000</c:formatCode>
                <c:ptCount val="3"/>
                <c:pt idx="0">
                  <c:v>5.9279999999999999E-2</c:v>
                </c:pt>
                <c:pt idx="1">
                  <c:v>0.6</c:v>
                </c:pt>
                <c:pt idx="2">
                  <c:v>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E-FCAC-4B0C-B902-51E71582E23D}"/>
            </c:ext>
          </c:extLst>
        </c:ser>
        <c:ser>
          <c:idx val="14"/>
          <c:order val="14"/>
          <c:tx>
            <c:v>Sanicro 38</c:v>
          </c:tx>
          <c:spPr>
            <a:ln w="19050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92D050"/>
              </a:solidFill>
              <a:ln w="9525">
                <a:solidFill>
                  <a:srgbClr val="92D050"/>
                </a:solidFill>
              </a:ln>
              <a:effectLst/>
            </c:spPr>
          </c:marker>
          <c:trendline>
            <c:spPr>
              <a:ln w="19050" cap="rnd">
                <a:solidFill>
                  <a:srgbClr val="92D050"/>
                </a:solidFill>
                <a:prstDash val="sysDot"/>
              </a:ln>
              <a:effectLst/>
            </c:spPr>
            <c:trendlineType val="poly"/>
            <c:order val="2"/>
            <c:dispRSqr val="0"/>
            <c:dispEq val="1"/>
            <c:trendlineLbl>
              <c:layout>
                <c:manualLayout>
                  <c:x val="0.36855491919774774"/>
                  <c:y val="2.3662785741525982E-2"/>
                </c:manualLayout>
              </c:layout>
              <c:numFmt formatCode="0.000000E+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sv-SE"/>
                </a:p>
              </c:txPr>
            </c:trendlineLbl>
          </c:trendline>
          <c:xVal>
            <c:numRef>
              <c:f>('CR-T'!$E$4,'CR-T'!$E$6,'CR-T'!$E$7)</c:f>
              <c:numCache>
                <c:formatCode>0.000</c:formatCode>
                <c:ptCount val="3"/>
                <c:pt idx="0">
                  <c:v>374.65006424048664</c:v>
                </c:pt>
                <c:pt idx="1">
                  <c:v>440</c:v>
                </c:pt>
                <c:pt idx="2">
                  <c:v>490</c:v>
                </c:pt>
              </c:numCache>
            </c:numRef>
          </c:xVal>
          <c:yVal>
            <c:numRef>
              <c:f>('CR-T'!$F$4,'CR-T'!$F$6,'CR-T'!$F$7)</c:f>
              <c:numCache>
                <c:formatCode>0.000</c:formatCode>
                <c:ptCount val="3"/>
                <c:pt idx="0">
                  <c:v>0</c:v>
                </c:pt>
                <c:pt idx="1">
                  <c:v>7.0000000000000007E-2</c:v>
                </c:pt>
                <c:pt idx="2">
                  <c:v>0.2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0-FCAC-4B0C-B902-51E71582E2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1749711"/>
        <c:axId val="1791750191"/>
      </c:scatterChart>
      <c:valAx>
        <c:axId val="1791749711"/>
        <c:scaling>
          <c:orientation val="minMax"/>
          <c:max val="650"/>
          <c:min val="2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0" i="0" u="none" strike="noStrike" baseline="0">
                    <a:effectLst/>
                  </a:rPr>
                  <a:t>Temperature (</a:t>
                </a:r>
                <a:r>
                  <a:rPr lang="en-GB" sz="1200" b="0" i="0" u="none" strike="noStrike" baseline="30000">
                    <a:effectLst/>
                  </a:rPr>
                  <a:t>o</a:t>
                </a:r>
                <a:r>
                  <a:rPr lang="en-GB" sz="1200" b="0" i="0" u="none" strike="noStrike" baseline="0">
                    <a:effectLst/>
                  </a:rPr>
                  <a:t>C)</a:t>
                </a:r>
                <a:endParaRPr lang="en-GB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791750191"/>
        <c:crosses val="autoZero"/>
        <c:crossBetween val="midCat"/>
      </c:valAx>
      <c:valAx>
        <c:axId val="1791750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Corrosion rate (mm/y)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791749711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egendEntry>
        <c:idx val="5"/>
        <c:delete val="1"/>
      </c:legendEntry>
      <c:legendEntry>
        <c:idx val="6"/>
        <c:delete val="1"/>
      </c:legendEntry>
      <c:legendEntry>
        <c:idx val="7"/>
        <c:delete val="1"/>
      </c:legendEntry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2"/>
        <c:delete val="1"/>
      </c:legendEntry>
      <c:legendEntry>
        <c:idx val="15"/>
        <c:delete val="1"/>
      </c:legendEntry>
      <c:legendEntry>
        <c:idx val="16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5.489107377726081E-2"/>
          <c:y val="2.792466404855333E-2"/>
          <c:w val="0.92133791576052049"/>
          <c:h val="0.87689467251708042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'CR-T'!$V$44:$V$49</c:f>
              <c:strCache>
                <c:ptCount val="6"/>
                <c:pt idx="0">
                  <c:v>(Tavares &amp; Karjunen, 2020)</c:v>
                </c:pt>
              </c:strCache>
            </c:strRef>
          </c:tx>
          <c:spPr>
            <a:ln w="19050" cap="rnd">
              <a:solidFill>
                <a:schemeClr val="accent3">
                  <a:shade val="58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58000"/>
                </a:schemeClr>
              </a:solidFill>
              <a:ln w="9525">
                <a:solidFill>
                  <a:schemeClr val="accent3">
                    <a:shade val="58000"/>
                  </a:schemeClr>
                </a:solidFill>
              </a:ln>
              <a:effectLst/>
            </c:spPr>
          </c:marker>
          <c:xVal>
            <c:numRef>
              <c:f>'CR-T'!$P$44:$P$49</c:f>
              <c:numCache>
                <c:formatCode>General</c:formatCode>
                <c:ptCount val="6"/>
                <c:pt idx="0">
                  <c:v>250</c:v>
                </c:pt>
                <c:pt idx="1">
                  <c:v>300</c:v>
                </c:pt>
                <c:pt idx="2">
                  <c:v>350</c:v>
                </c:pt>
                <c:pt idx="3">
                  <c:v>400</c:v>
                </c:pt>
                <c:pt idx="4">
                  <c:v>450</c:v>
                </c:pt>
                <c:pt idx="5">
                  <c:v>500</c:v>
                </c:pt>
              </c:numCache>
            </c:numRef>
          </c:xVal>
          <c:yVal>
            <c:numRef>
              <c:f>'CR-T'!$Q$44:$Q$49</c:f>
              <c:numCache>
                <c:formatCode>General</c:formatCode>
                <c:ptCount val="6"/>
                <c:pt idx="0">
                  <c:v>0.1</c:v>
                </c:pt>
                <c:pt idx="1">
                  <c:v>0.4</c:v>
                </c:pt>
                <c:pt idx="2">
                  <c:v>0.8</c:v>
                </c:pt>
                <c:pt idx="3">
                  <c:v>1.7</c:v>
                </c:pt>
                <c:pt idx="4">
                  <c:v>3.3</c:v>
                </c:pt>
                <c:pt idx="5">
                  <c:v>5.7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5-6B9A-4559-8DC8-4FCBAA3F19ED}"/>
            </c:ext>
          </c:extLst>
        </c:ser>
        <c:ser>
          <c:idx val="1"/>
          <c:order val="1"/>
          <c:tx>
            <c:strRef>
              <c:f>'CR-T'!$V$50:$V$57</c:f>
              <c:strCache>
                <c:ptCount val="8"/>
                <c:pt idx="0">
                  <c:v>(Salmenoja and Tuiremo, 2001 from Vakkilainen, 2005)</c:v>
                </c:pt>
              </c:strCache>
            </c:strRef>
          </c:tx>
          <c:spPr>
            <a:ln w="19050" cap="rnd">
              <a:solidFill>
                <a:schemeClr val="accent3">
                  <a:shade val="86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86000"/>
                </a:schemeClr>
              </a:solidFill>
              <a:ln w="9525">
                <a:solidFill>
                  <a:schemeClr val="accent3">
                    <a:shade val="86000"/>
                  </a:schemeClr>
                </a:solidFill>
              </a:ln>
              <a:effectLst/>
            </c:spPr>
          </c:marker>
          <c:xVal>
            <c:numRef>
              <c:f>'CR-T'!$P$50:$P$57</c:f>
              <c:numCache>
                <c:formatCode>General</c:formatCode>
                <c:ptCount val="8"/>
                <c:pt idx="0">
                  <c:v>250</c:v>
                </c:pt>
                <c:pt idx="1">
                  <c:v>300</c:v>
                </c:pt>
                <c:pt idx="2">
                  <c:v>350</c:v>
                </c:pt>
                <c:pt idx="3">
                  <c:v>400</c:v>
                </c:pt>
                <c:pt idx="4">
                  <c:v>450</c:v>
                </c:pt>
                <c:pt idx="5">
                  <c:v>500</c:v>
                </c:pt>
                <c:pt idx="6">
                  <c:v>550</c:v>
                </c:pt>
                <c:pt idx="7">
                  <c:v>600</c:v>
                </c:pt>
              </c:numCache>
            </c:numRef>
          </c:xVal>
          <c:yVal>
            <c:numRef>
              <c:f>'CR-T'!$Q$50:$Q$57</c:f>
              <c:numCache>
                <c:formatCode>General</c:formatCode>
                <c:ptCount val="8"/>
                <c:pt idx="0">
                  <c:v>0.1</c:v>
                </c:pt>
                <c:pt idx="1">
                  <c:v>0.2</c:v>
                </c:pt>
                <c:pt idx="2">
                  <c:v>0.4</c:v>
                </c:pt>
                <c:pt idx="3">
                  <c:v>0.7</c:v>
                </c:pt>
                <c:pt idx="4">
                  <c:v>1.3</c:v>
                </c:pt>
                <c:pt idx="5">
                  <c:v>2.2999999999999998</c:v>
                </c:pt>
                <c:pt idx="6">
                  <c:v>3.5</c:v>
                </c:pt>
                <c:pt idx="7">
                  <c:v>4.7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6-6B9A-4559-8DC8-4FCBAA3F19ED}"/>
            </c:ext>
          </c:extLst>
        </c:ser>
        <c:ser>
          <c:idx val="2"/>
          <c:order val="2"/>
          <c:tx>
            <c:strRef>
              <c:f>'CR-T'!$V$60:$V$63</c:f>
              <c:strCache>
                <c:ptCount val="4"/>
                <c:pt idx="0">
                  <c:v>(Nickel, n.d.)</c:v>
                </c:pt>
              </c:strCache>
            </c:strRef>
          </c:tx>
          <c:spPr>
            <a:ln w="19050" cap="rnd">
              <a:solidFill>
                <a:schemeClr val="accent3">
                  <a:tint val="86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86000"/>
                </a:schemeClr>
              </a:solidFill>
              <a:ln w="9525">
                <a:solidFill>
                  <a:schemeClr val="accent3">
                    <a:tint val="86000"/>
                  </a:schemeClr>
                </a:solidFill>
              </a:ln>
              <a:effectLst/>
            </c:spPr>
          </c:marker>
          <c:xVal>
            <c:numRef>
              <c:f>'CR-T'!$P$60:$P$61</c:f>
              <c:numCache>
                <c:formatCode>General</c:formatCode>
                <c:ptCount val="2"/>
                <c:pt idx="0">
                  <c:v>300</c:v>
                </c:pt>
                <c:pt idx="1">
                  <c:v>350</c:v>
                </c:pt>
              </c:numCache>
            </c:numRef>
          </c:xVal>
          <c:yVal>
            <c:numRef>
              <c:f>'CR-T'!$Q$60:$Q$61</c:f>
              <c:numCache>
                <c:formatCode>General</c:formatCode>
                <c:ptCount val="2"/>
                <c:pt idx="0">
                  <c:v>0.8</c:v>
                </c:pt>
                <c:pt idx="1">
                  <c:v>1.9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7-6B9A-4559-8DC8-4FCBAA3F19ED}"/>
            </c:ext>
          </c:extLst>
        </c:ser>
        <c:ser>
          <c:idx val="3"/>
          <c:order val="3"/>
          <c:tx>
            <c:strRef>
              <c:f>'CR-T'!$V$77</c:f>
              <c:strCache>
                <c:ptCount val="1"/>
                <c:pt idx="0">
                  <c:v>(Pohjanne, 2013)</c:v>
                </c:pt>
              </c:strCache>
            </c:strRef>
          </c:tx>
          <c:spPr>
            <a:ln w="19050" cap="rnd">
              <a:solidFill>
                <a:schemeClr val="accent3">
                  <a:tint val="58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58000"/>
                </a:schemeClr>
              </a:solidFill>
              <a:ln w="9525">
                <a:solidFill>
                  <a:schemeClr val="accent3">
                    <a:tint val="58000"/>
                  </a:schemeClr>
                </a:solidFill>
              </a:ln>
              <a:effectLst/>
            </c:spPr>
          </c:marker>
          <c:xVal>
            <c:numRef>
              <c:f>'CR-T'!$P$77</c:f>
              <c:numCache>
                <c:formatCode>General</c:formatCode>
                <c:ptCount val="1"/>
                <c:pt idx="0">
                  <c:v>440</c:v>
                </c:pt>
              </c:numCache>
            </c:numRef>
          </c:xVal>
          <c:yVal>
            <c:numRef>
              <c:f>'CR-T'!$Q$77</c:f>
              <c:numCache>
                <c:formatCode>General</c:formatCode>
                <c:ptCount val="1"/>
                <c:pt idx="0">
                  <c:v>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18-6B9A-4559-8DC8-4FCBAA3F19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1749711"/>
        <c:axId val="1791750191"/>
      </c:scatterChart>
      <c:valAx>
        <c:axId val="1791749711"/>
        <c:scaling>
          <c:orientation val="minMax"/>
          <c:max val="650"/>
          <c:min val="2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0" i="0" u="none" strike="noStrike" baseline="0">
                    <a:effectLst/>
                  </a:rPr>
                  <a:t>Temperature (</a:t>
                </a:r>
                <a:r>
                  <a:rPr lang="en-GB" sz="1200" b="0" i="0" u="none" strike="noStrike" baseline="30000">
                    <a:effectLst/>
                  </a:rPr>
                  <a:t>o</a:t>
                </a:r>
                <a:r>
                  <a:rPr lang="en-GB" sz="1200" b="0" i="0" u="none" strike="noStrike" baseline="0">
                    <a:effectLst/>
                  </a:rPr>
                  <a:t>C)</a:t>
                </a:r>
                <a:endParaRPr lang="en-GB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791750191"/>
        <c:crosses val="autoZero"/>
        <c:crossBetween val="midCat"/>
      </c:valAx>
      <c:valAx>
        <c:axId val="1791750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Corrosion rate (mm/y)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7917497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392314639386097E-2"/>
          <c:y val="2.792466404855333E-2"/>
          <c:w val="0.90454490482655137"/>
          <c:h val="0.92015164771070279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'CR-T'!$V$44:$V$49</c:f>
              <c:strCache>
                <c:ptCount val="6"/>
                <c:pt idx="0">
                  <c:v>(Tavares &amp; Karjunen, 2020)</c:v>
                </c:pt>
              </c:strCache>
            </c:strRef>
          </c:tx>
          <c:spPr>
            <a:ln w="19050" cap="rnd">
              <a:solidFill>
                <a:schemeClr val="accent3">
                  <a:shade val="44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38000"/>
                </a:schemeClr>
              </a:solidFill>
              <a:ln w="9525">
                <a:solidFill>
                  <a:schemeClr val="accent3">
                    <a:shade val="38000"/>
                  </a:schemeClr>
                </a:solidFill>
              </a:ln>
              <a:effectLst/>
            </c:spPr>
          </c:marker>
          <c:xVal>
            <c:numRef>
              <c:f>'CR-T'!$P$44:$P$49</c:f>
              <c:numCache>
                <c:formatCode>General</c:formatCode>
                <c:ptCount val="6"/>
                <c:pt idx="0">
                  <c:v>250</c:v>
                </c:pt>
                <c:pt idx="1">
                  <c:v>300</c:v>
                </c:pt>
                <c:pt idx="2">
                  <c:v>350</c:v>
                </c:pt>
                <c:pt idx="3">
                  <c:v>400</c:v>
                </c:pt>
                <c:pt idx="4">
                  <c:v>450</c:v>
                </c:pt>
                <c:pt idx="5">
                  <c:v>500</c:v>
                </c:pt>
              </c:numCache>
            </c:numRef>
          </c:xVal>
          <c:yVal>
            <c:numRef>
              <c:f>'CR-T'!$R$44:$R$49</c:f>
              <c:numCache>
                <c:formatCode>General</c:formatCode>
                <c:ptCount val="6"/>
                <c:pt idx="0">
                  <c:v>0</c:v>
                </c:pt>
                <c:pt idx="1">
                  <c:v>0.1</c:v>
                </c:pt>
                <c:pt idx="2">
                  <c:v>0.3</c:v>
                </c:pt>
                <c:pt idx="3">
                  <c:v>0.6</c:v>
                </c:pt>
                <c:pt idx="4">
                  <c:v>1.4</c:v>
                </c:pt>
                <c:pt idx="5">
                  <c:v>2.1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099C-401B-960E-4D1E9B985B1A}"/>
            </c:ext>
          </c:extLst>
        </c:ser>
        <c:ser>
          <c:idx val="1"/>
          <c:order val="1"/>
          <c:tx>
            <c:strRef>
              <c:f>'CR-T'!$V$77</c:f>
              <c:strCache>
                <c:ptCount val="1"/>
                <c:pt idx="0">
                  <c:v>(Pohjanne, 2013)</c:v>
                </c:pt>
              </c:strCache>
            </c:strRef>
          </c:tx>
          <c:spPr>
            <a:ln w="19050" cap="rnd">
              <a:solidFill>
                <a:schemeClr val="accent3">
                  <a:shade val="58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47000"/>
                </a:schemeClr>
              </a:solidFill>
              <a:ln w="9525">
                <a:solidFill>
                  <a:schemeClr val="accent3">
                    <a:shade val="47000"/>
                  </a:schemeClr>
                </a:solidFill>
              </a:ln>
              <a:effectLst/>
            </c:spPr>
          </c:marker>
          <c:xVal>
            <c:numRef>
              <c:f>'CR-T'!$P$77</c:f>
              <c:numCache>
                <c:formatCode>General</c:formatCode>
                <c:ptCount val="1"/>
                <c:pt idx="0">
                  <c:v>440</c:v>
                </c:pt>
              </c:numCache>
            </c:numRef>
          </c:xVal>
          <c:yVal>
            <c:numRef>
              <c:f>'CR-T'!$R$77</c:f>
              <c:numCache>
                <c:formatCode>General</c:formatCode>
                <c:ptCount val="1"/>
                <c:pt idx="0">
                  <c:v>0.6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099C-401B-960E-4D1E9B985B1A}"/>
            </c:ext>
          </c:extLst>
        </c:ser>
        <c:ser>
          <c:idx val="2"/>
          <c:order val="2"/>
          <c:tx>
            <c:strRef>
              <c:f>'CR-T'!$V$50:$V$57</c:f>
              <c:strCache>
                <c:ptCount val="8"/>
                <c:pt idx="0">
                  <c:v>(Salmenoja and Tuiremo, 2001 from Vakkilainen, 2005)</c:v>
                </c:pt>
              </c:strCache>
            </c:strRef>
          </c:tx>
          <c:spPr>
            <a:ln w="19050" cap="rnd">
              <a:solidFill>
                <a:schemeClr val="accent3">
                  <a:shade val="72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56000"/>
                </a:schemeClr>
              </a:solidFill>
              <a:ln w="9525">
                <a:solidFill>
                  <a:schemeClr val="accent3">
                    <a:shade val="56000"/>
                  </a:schemeClr>
                </a:solidFill>
              </a:ln>
              <a:effectLst/>
            </c:spPr>
          </c:marker>
          <c:xVal>
            <c:numRef>
              <c:f>'CR-T'!$P$52:$P$57</c:f>
              <c:numCache>
                <c:formatCode>General</c:formatCode>
                <c:ptCount val="6"/>
                <c:pt idx="0">
                  <c:v>350</c:v>
                </c:pt>
                <c:pt idx="1">
                  <c:v>400</c:v>
                </c:pt>
                <c:pt idx="2">
                  <c:v>450</c:v>
                </c:pt>
                <c:pt idx="3">
                  <c:v>500</c:v>
                </c:pt>
                <c:pt idx="4">
                  <c:v>550</c:v>
                </c:pt>
                <c:pt idx="5">
                  <c:v>600</c:v>
                </c:pt>
              </c:numCache>
            </c:numRef>
          </c:xVal>
          <c:yVal>
            <c:numRef>
              <c:f>'CR-T'!$R$52:$R$57</c:f>
              <c:numCache>
                <c:formatCode>General</c:formatCode>
                <c:ptCount val="6"/>
                <c:pt idx="0">
                  <c:v>0</c:v>
                </c:pt>
                <c:pt idx="1">
                  <c:v>0.1</c:v>
                </c:pt>
                <c:pt idx="2">
                  <c:v>0.3</c:v>
                </c:pt>
                <c:pt idx="3">
                  <c:v>0.5</c:v>
                </c:pt>
                <c:pt idx="4">
                  <c:v>0.8</c:v>
                </c:pt>
                <c:pt idx="5">
                  <c:v>1.3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099C-401B-960E-4D1E9B985B1A}"/>
            </c:ext>
          </c:extLst>
        </c:ser>
        <c:ser>
          <c:idx val="3"/>
          <c:order val="3"/>
          <c:tx>
            <c:strRef>
              <c:f>'CR-T'!$V$58:$V$59</c:f>
              <c:strCache>
                <c:ptCount val="2"/>
                <c:pt idx="0">
                  <c:v>(Mäkipää et al., 2001)</c:v>
                </c:pt>
              </c:strCache>
            </c:strRef>
          </c:tx>
          <c:spPr>
            <a:ln w="19050" cap="rnd">
              <a:solidFill>
                <a:schemeClr val="accent3">
                  <a:shade val="86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65000"/>
                </a:schemeClr>
              </a:solidFill>
              <a:ln w="9525">
                <a:solidFill>
                  <a:schemeClr val="accent3">
                    <a:shade val="65000"/>
                  </a:schemeClr>
                </a:solidFill>
              </a:ln>
              <a:effectLst/>
            </c:spPr>
          </c:marker>
          <c:xVal>
            <c:numRef>
              <c:f>'CR-T'!$P$58:$P$59</c:f>
              <c:numCache>
                <c:formatCode>General</c:formatCode>
                <c:ptCount val="2"/>
                <c:pt idx="0">
                  <c:v>360</c:v>
                </c:pt>
                <c:pt idx="1">
                  <c:v>400</c:v>
                </c:pt>
              </c:numCache>
            </c:numRef>
          </c:xVal>
          <c:yVal>
            <c:numRef>
              <c:f>'CR-T'!$R$58:$R$59</c:f>
              <c:numCache>
                <c:formatCode>General</c:formatCode>
                <c:ptCount val="2"/>
                <c:pt idx="0">
                  <c:v>0.02</c:v>
                </c:pt>
                <c:pt idx="1">
                  <c:v>0.05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099C-401B-960E-4D1E9B985B1A}"/>
            </c:ext>
          </c:extLst>
        </c:ser>
        <c:ser>
          <c:idx val="4"/>
          <c:order val="4"/>
          <c:tx>
            <c:strRef>
              <c:f>'CR-T'!$V$60:$V$63</c:f>
              <c:strCache>
                <c:ptCount val="4"/>
                <c:pt idx="0">
                  <c:v>(Nickel, n.d.)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73000"/>
                </a:schemeClr>
              </a:solidFill>
              <a:ln w="9525">
                <a:solidFill>
                  <a:schemeClr val="accent3">
                    <a:shade val="73000"/>
                  </a:schemeClr>
                </a:solidFill>
              </a:ln>
              <a:effectLst/>
            </c:spPr>
          </c:marker>
          <c:xVal>
            <c:numRef>
              <c:f>'CR-T'!$P$60:$P$63</c:f>
              <c:numCache>
                <c:formatCode>General</c:formatCode>
                <c:ptCount val="4"/>
                <c:pt idx="0">
                  <c:v>300</c:v>
                </c:pt>
                <c:pt idx="1">
                  <c:v>350</c:v>
                </c:pt>
                <c:pt idx="2">
                  <c:v>400</c:v>
                </c:pt>
                <c:pt idx="3">
                  <c:v>450</c:v>
                </c:pt>
              </c:numCache>
            </c:numRef>
          </c:xVal>
          <c:yVal>
            <c:numRef>
              <c:f>'CR-T'!$R$60:$R$63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099C-401B-960E-4D1E9B985B1A}"/>
            </c:ext>
          </c:extLst>
        </c:ser>
        <c:ser>
          <c:idx val="5"/>
          <c:order val="5"/>
          <c:tx>
            <c:strRef>
              <c:f>'CR-T'!$V$64:$V$72</c:f>
              <c:strCache>
                <c:ptCount val="9"/>
                <c:pt idx="0">
                  <c:v>(Nimmervoll et al., 2022)</c:v>
                </c:pt>
              </c:strCache>
            </c:strRef>
          </c:tx>
          <c:spPr>
            <a:ln w="19050" cap="rnd">
              <a:solidFill>
                <a:schemeClr val="accent3">
                  <a:tint val="86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82000"/>
                </a:schemeClr>
              </a:solidFill>
              <a:ln w="9525">
                <a:solidFill>
                  <a:schemeClr val="accent3">
                    <a:shade val="82000"/>
                  </a:schemeClr>
                </a:solidFill>
              </a:ln>
              <a:effectLst/>
            </c:spPr>
          </c:marker>
          <c:xVal>
            <c:numRef>
              <c:f>'CR-T'!$P$64:$P$66</c:f>
              <c:numCache>
                <c:formatCode>General</c:formatCode>
                <c:ptCount val="3"/>
                <c:pt idx="0">
                  <c:v>420</c:v>
                </c:pt>
                <c:pt idx="1">
                  <c:v>480</c:v>
                </c:pt>
                <c:pt idx="2">
                  <c:v>580</c:v>
                </c:pt>
              </c:numCache>
            </c:numRef>
          </c:xVal>
          <c:yVal>
            <c:numRef>
              <c:f>'CR-T'!$R$64:$R$66</c:f>
              <c:numCache>
                <c:formatCode>General</c:formatCode>
                <c:ptCount val="3"/>
                <c:pt idx="0">
                  <c:v>0.12</c:v>
                </c:pt>
                <c:pt idx="1">
                  <c:v>0.23</c:v>
                </c:pt>
                <c:pt idx="2">
                  <c:v>0.8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099C-401B-960E-4D1E9B985B1A}"/>
            </c:ext>
          </c:extLst>
        </c:ser>
        <c:ser>
          <c:idx val="6"/>
          <c:order val="6"/>
          <c:tx>
            <c:strRef>
              <c:f>'CR-T'!$V$64:$V$72</c:f>
              <c:strCache>
                <c:ptCount val="9"/>
                <c:pt idx="0">
                  <c:v>(Nimmervoll et al., 2022)</c:v>
                </c:pt>
              </c:strCache>
            </c:strRef>
          </c:tx>
          <c:spPr>
            <a:ln w="19050" cap="rnd">
              <a:solidFill>
                <a:schemeClr val="accent3">
                  <a:tint val="72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shade val="91000"/>
                </a:schemeClr>
              </a:solidFill>
              <a:ln w="9525">
                <a:solidFill>
                  <a:schemeClr val="accent3">
                    <a:shade val="91000"/>
                  </a:schemeClr>
                </a:solidFill>
              </a:ln>
              <a:effectLst/>
            </c:spPr>
          </c:marker>
          <c:xVal>
            <c:numRef>
              <c:f>'CR-T'!$P$67:$P$69</c:f>
              <c:numCache>
                <c:formatCode>General</c:formatCode>
                <c:ptCount val="3"/>
                <c:pt idx="0">
                  <c:v>420</c:v>
                </c:pt>
                <c:pt idx="1">
                  <c:v>480</c:v>
                </c:pt>
                <c:pt idx="2">
                  <c:v>580</c:v>
                </c:pt>
              </c:numCache>
            </c:numRef>
          </c:xVal>
          <c:yVal>
            <c:numRef>
              <c:f>'CR-T'!$R$67:$R$69</c:f>
              <c:numCache>
                <c:formatCode>General</c:formatCode>
                <c:ptCount val="3"/>
                <c:pt idx="0">
                  <c:v>0.12</c:v>
                </c:pt>
                <c:pt idx="1">
                  <c:v>0.27</c:v>
                </c:pt>
                <c:pt idx="2">
                  <c:v>0.95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099C-401B-960E-4D1E9B985B1A}"/>
            </c:ext>
          </c:extLst>
        </c:ser>
        <c:ser>
          <c:idx val="7"/>
          <c:order val="7"/>
          <c:tx>
            <c:strRef>
              <c:f>'CR-T'!$V$64:$V$72</c:f>
              <c:strCache>
                <c:ptCount val="9"/>
                <c:pt idx="0">
                  <c:v>(Nimmervoll et al., 2022)</c:v>
                </c:pt>
              </c:strCache>
            </c:strRef>
          </c:tx>
          <c:spPr>
            <a:ln w="19050" cap="rnd">
              <a:solidFill>
                <a:schemeClr val="accent3">
                  <a:tint val="58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'CR-T'!$P$70:$P$72</c:f>
              <c:numCache>
                <c:formatCode>General</c:formatCode>
                <c:ptCount val="3"/>
                <c:pt idx="0">
                  <c:v>420</c:v>
                </c:pt>
                <c:pt idx="1">
                  <c:v>480</c:v>
                </c:pt>
                <c:pt idx="2">
                  <c:v>580</c:v>
                </c:pt>
              </c:numCache>
            </c:numRef>
          </c:xVal>
          <c:yVal>
            <c:numRef>
              <c:f>'CR-T'!$R$70:$R$72</c:f>
              <c:numCache>
                <c:formatCode>General</c:formatCode>
                <c:ptCount val="3"/>
                <c:pt idx="0">
                  <c:v>0.16</c:v>
                </c:pt>
                <c:pt idx="1">
                  <c:v>0.28000000000000003</c:v>
                </c:pt>
                <c:pt idx="2">
                  <c:v>1.32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099C-401B-960E-4D1E9B985B1A}"/>
            </c:ext>
          </c:extLst>
        </c:ser>
        <c:ser>
          <c:idx val="8"/>
          <c:order val="8"/>
          <c:tx>
            <c:strRef>
              <c:f>'CR-T'!$V$73:$V$76</c:f>
              <c:strCache>
                <c:ptCount val="4"/>
                <c:pt idx="0">
                  <c:v>(Yli-Olli et al., 2007)</c:v>
                </c:pt>
              </c:strCache>
            </c:strRef>
          </c:tx>
          <c:spPr>
            <a:ln w="19050" cap="rnd">
              <a:solidFill>
                <a:schemeClr val="accent3">
                  <a:tint val="44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92000"/>
                </a:schemeClr>
              </a:solidFill>
              <a:ln w="9525">
                <a:solidFill>
                  <a:schemeClr val="accent3">
                    <a:tint val="92000"/>
                  </a:schemeClr>
                </a:solidFill>
              </a:ln>
              <a:effectLst/>
            </c:spPr>
          </c:marker>
          <c:xVal>
            <c:numRef>
              <c:f>'CR-T'!$P$73:$P$76</c:f>
              <c:numCache>
                <c:formatCode>General</c:formatCode>
                <c:ptCount val="4"/>
                <c:pt idx="0">
                  <c:v>440</c:v>
                </c:pt>
                <c:pt idx="1">
                  <c:v>440</c:v>
                </c:pt>
                <c:pt idx="2">
                  <c:v>440</c:v>
                </c:pt>
                <c:pt idx="3">
                  <c:v>440</c:v>
                </c:pt>
              </c:numCache>
            </c:numRef>
          </c:xVal>
          <c:yVal>
            <c:numRef>
              <c:f>'CR-T'!$R$73:$R$76</c:f>
              <c:numCache>
                <c:formatCode>0.00</c:formatCode>
                <c:ptCount val="4"/>
                <c:pt idx="0">
                  <c:v>5.0632911392405063E-2</c:v>
                </c:pt>
                <c:pt idx="1">
                  <c:v>7.5949367088607583E-2</c:v>
                </c:pt>
                <c:pt idx="2">
                  <c:v>6.3291139240506319E-2</c:v>
                </c:pt>
                <c:pt idx="3">
                  <c:v>8.8607594936708861E-2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099C-401B-960E-4D1E9B985B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1749711"/>
        <c:axId val="1791750191"/>
      </c:scatterChart>
      <c:valAx>
        <c:axId val="1791749711"/>
        <c:scaling>
          <c:orientation val="minMax"/>
          <c:max val="650"/>
          <c:min val="2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0" i="0" u="none" strike="noStrike" baseline="0">
                    <a:effectLst/>
                  </a:rPr>
                  <a:t>Temperature (</a:t>
                </a:r>
                <a:r>
                  <a:rPr lang="en-GB" sz="1200" b="0" i="0" u="none" strike="noStrike" baseline="30000">
                    <a:effectLst/>
                  </a:rPr>
                  <a:t>o</a:t>
                </a:r>
                <a:r>
                  <a:rPr lang="en-GB" sz="1200" b="0" i="0" u="none" strike="noStrike" baseline="0">
                    <a:effectLst/>
                  </a:rPr>
                  <a:t>C)</a:t>
                </a:r>
                <a:endParaRPr lang="en-GB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791750191"/>
        <c:crosses val="autoZero"/>
        <c:crossBetween val="midCat"/>
      </c:valAx>
      <c:valAx>
        <c:axId val="1791750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Corrosion rate (mm/y)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7917497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0"/>
    <c:plotArea>
      <c:layout>
        <c:manualLayout>
          <c:layoutTarget val="inner"/>
          <c:xMode val="edge"/>
          <c:yMode val="edge"/>
          <c:x val="7.0392314639386097E-2"/>
          <c:y val="2.792466404855333E-2"/>
          <c:w val="0.90878435180249217"/>
          <c:h val="0.86926108473082087"/>
        </c:manualLayout>
      </c:layout>
      <c:scatterChart>
        <c:scatterStyle val="smoothMarker"/>
        <c:varyColors val="0"/>
        <c:ser>
          <c:idx val="9"/>
          <c:order val="0"/>
          <c:tx>
            <c:strRef>
              <c:f>'CR-T'!$V$44:$V$49</c:f>
              <c:strCache>
                <c:ptCount val="6"/>
                <c:pt idx="0">
                  <c:v>(Tavares &amp; Karjunen, 2020)</c:v>
                </c:pt>
              </c:strCache>
            </c:strRef>
          </c:tx>
          <c:spPr>
            <a:ln w="19050" cap="rnd">
              <a:solidFill>
                <a:schemeClr val="accent3">
                  <a:tint val="7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83000"/>
                </a:schemeClr>
              </a:solidFill>
              <a:ln w="9525">
                <a:solidFill>
                  <a:schemeClr val="accent3">
                    <a:tint val="83000"/>
                  </a:schemeClr>
                </a:solidFill>
              </a:ln>
              <a:effectLst/>
            </c:spPr>
          </c:marker>
          <c:xVal>
            <c:numRef>
              <c:f>'CR-T'!$P$47:$P$49</c:f>
              <c:numCache>
                <c:formatCode>General</c:formatCode>
                <c:ptCount val="3"/>
                <c:pt idx="0">
                  <c:v>400</c:v>
                </c:pt>
                <c:pt idx="1">
                  <c:v>450</c:v>
                </c:pt>
                <c:pt idx="2">
                  <c:v>500</c:v>
                </c:pt>
              </c:numCache>
            </c:numRef>
          </c:xVal>
          <c:yVal>
            <c:numRef>
              <c:f>'CR-T'!$S$47:$S$49</c:f>
              <c:numCache>
                <c:formatCode>General</c:formatCode>
                <c:ptCount val="3"/>
                <c:pt idx="0">
                  <c:v>0</c:v>
                </c:pt>
                <c:pt idx="1">
                  <c:v>0.2</c:v>
                </c:pt>
                <c:pt idx="2">
                  <c:v>0.3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B171-4B12-8A3C-360595ACDC49}"/>
            </c:ext>
          </c:extLst>
        </c:ser>
        <c:ser>
          <c:idx val="10"/>
          <c:order val="1"/>
          <c:tx>
            <c:strRef>
              <c:f>'CR-T'!$V$77</c:f>
              <c:strCache>
                <c:ptCount val="1"/>
                <c:pt idx="0">
                  <c:v>(Pohjanne, 2013)</c:v>
                </c:pt>
              </c:strCache>
            </c:strRef>
          </c:tx>
          <c:spPr>
            <a:ln w="19050" cap="rnd">
              <a:solidFill>
                <a:schemeClr val="accent3">
                  <a:tint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74000"/>
                </a:schemeClr>
              </a:solidFill>
              <a:ln w="9525">
                <a:solidFill>
                  <a:schemeClr val="accent3">
                    <a:tint val="74000"/>
                  </a:schemeClr>
                </a:solidFill>
              </a:ln>
              <a:effectLst/>
            </c:spPr>
          </c:marker>
          <c:xVal>
            <c:numRef>
              <c:f>'CR-T'!$P$77</c:f>
              <c:numCache>
                <c:formatCode>General</c:formatCode>
                <c:ptCount val="1"/>
                <c:pt idx="0">
                  <c:v>440</c:v>
                </c:pt>
              </c:numCache>
            </c:numRef>
          </c:xVal>
          <c:yVal>
            <c:numRef>
              <c:f>'CR-T'!$S$77</c:f>
              <c:numCache>
                <c:formatCode>General</c:formatCode>
                <c:ptCount val="1"/>
                <c:pt idx="0">
                  <c:v>7.0000000000000007E-2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B171-4B12-8A3C-360595ACDC49}"/>
            </c:ext>
          </c:extLst>
        </c:ser>
        <c:ser>
          <c:idx val="11"/>
          <c:order val="2"/>
          <c:tx>
            <c:strRef>
              <c:f>'CR-T'!$V$58:$V$59</c:f>
              <c:strCache>
                <c:ptCount val="2"/>
                <c:pt idx="0">
                  <c:v>(Mäkipää et al., 2001)</c:v>
                </c:pt>
              </c:strCache>
            </c:strRef>
          </c:tx>
          <c:spPr>
            <a:ln w="19050" cap="rnd">
              <a:solidFill>
                <a:schemeClr val="accent3">
                  <a:tint val="5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65000"/>
                </a:schemeClr>
              </a:solidFill>
              <a:ln w="9525">
                <a:solidFill>
                  <a:schemeClr val="accent3">
                    <a:tint val="65000"/>
                  </a:schemeClr>
                </a:solidFill>
              </a:ln>
              <a:effectLst/>
            </c:spPr>
          </c:marker>
          <c:xVal>
            <c:numRef>
              <c:f>'CR-T'!$P$58:$P$59</c:f>
              <c:numCache>
                <c:formatCode>General</c:formatCode>
                <c:ptCount val="2"/>
                <c:pt idx="0">
                  <c:v>360</c:v>
                </c:pt>
                <c:pt idx="1">
                  <c:v>400</c:v>
                </c:pt>
              </c:numCache>
            </c:numRef>
          </c:xVal>
          <c:yVal>
            <c:numRef>
              <c:f>'CR-T'!$S$58:$S$59</c:f>
              <c:numCache>
                <c:formatCode>General</c:formatCode>
                <c:ptCount val="2"/>
                <c:pt idx="0">
                  <c:v>0.02</c:v>
                </c:pt>
                <c:pt idx="1">
                  <c:v>0.15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B171-4B12-8A3C-360595ACDC49}"/>
            </c:ext>
          </c:extLst>
        </c:ser>
        <c:ser>
          <c:idx val="12"/>
          <c:order val="3"/>
          <c:tx>
            <c:strRef>
              <c:f>'CR-T'!$V$73:$V$76</c:f>
              <c:strCache>
                <c:ptCount val="4"/>
                <c:pt idx="0">
                  <c:v>(Yli-Olli et al., 2007)</c:v>
                </c:pt>
              </c:strCache>
            </c:strRef>
          </c:tx>
          <c:spPr>
            <a:ln w="19050" cap="rnd">
              <a:solidFill>
                <a:schemeClr val="accent3">
                  <a:tint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tint val="57000"/>
                </a:schemeClr>
              </a:solidFill>
              <a:ln w="9525">
                <a:solidFill>
                  <a:schemeClr val="accent3">
                    <a:tint val="57000"/>
                  </a:schemeClr>
                </a:solidFill>
              </a:ln>
              <a:effectLst/>
            </c:spPr>
          </c:marker>
          <c:xVal>
            <c:numRef>
              <c:f>'CR-T'!$P$73:$P$76</c:f>
              <c:numCache>
                <c:formatCode>General</c:formatCode>
                <c:ptCount val="4"/>
                <c:pt idx="0">
                  <c:v>440</c:v>
                </c:pt>
                <c:pt idx="1">
                  <c:v>440</c:v>
                </c:pt>
                <c:pt idx="2">
                  <c:v>440</c:v>
                </c:pt>
                <c:pt idx="3">
                  <c:v>440</c:v>
                </c:pt>
              </c:numCache>
            </c:numRef>
          </c:xVal>
          <c:yVal>
            <c:numRef>
              <c:f>'CR-T'!$S$73:$S$76</c:f>
              <c:numCache>
                <c:formatCode>0.00</c:formatCode>
                <c:ptCount val="4"/>
                <c:pt idx="0">
                  <c:v>9.876543209876544E-2</c:v>
                </c:pt>
                <c:pt idx="1">
                  <c:v>0.14814814814814814</c:v>
                </c:pt>
                <c:pt idx="2">
                  <c:v>0.12962962962962965</c:v>
                </c:pt>
                <c:pt idx="3">
                  <c:v>0.20370370370370372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C-B171-4B12-8A3C-360595ACDC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1749711"/>
        <c:axId val="1791750191"/>
      </c:scatterChart>
      <c:valAx>
        <c:axId val="1791749711"/>
        <c:scaling>
          <c:orientation val="minMax"/>
          <c:max val="650"/>
          <c:min val="25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0" i="0" u="none" strike="noStrike" baseline="0">
                    <a:effectLst/>
                  </a:rPr>
                  <a:t>Temperature (</a:t>
                </a:r>
                <a:r>
                  <a:rPr lang="en-GB" sz="1200" b="0" i="0" u="none" strike="noStrike" baseline="30000">
                    <a:effectLst/>
                  </a:rPr>
                  <a:t>o</a:t>
                </a:r>
                <a:r>
                  <a:rPr lang="en-GB" sz="1200" b="0" i="0" u="none" strike="noStrike" baseline="0">
                    <a:effectLst/>
                  </a:rPr>
                  <a:t>C)</a:t>
                </a:r>
                <a:endParaRPr lang="en-GB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791750191"/>
        <c:crosses val="autoZero"/>
        <c:crossBetween val="midCat"/>
      </c:valAx>
      <c:valAx>
        <c:axId val="179175019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Corrosion rate (mm/y)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791749711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'l-q'!$B$2</c:f>
              <c:strCache>
                <c:ptCount val="1"/>
                <c:pt idx="0">
                  <c:v>Furnace height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0"/>
            <c:marker>
              <c:symbol val="circle"/>
              <c:size val="5"/>
              <c:spPr>
                <a:solidFill>
                  <a:schemeClr val="accent1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spPr>
              <a:ln w="19050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C315-43D1-BDBE-0199A8E1B03F}"/>
              </c:ext>
            </c:extLst>
          </c:dPt>
          <c:xVal>
            <c:numRef>
              <c:f>'l-q'!$C$3:$C$103</c:f>
              <c:numCache>
                <c:formatCode>0.00%</c:formatCode>
                <c:ptCount val="101"/>
                <c:pt idx="0">
                  <c:v>1.6</c:v>
                </c:pt>
                <c:pt idx="1">
                  <c:v>1.6</c:v>
                </c:pt>
                <c:pt idx="2">
                  <c:v>1.6</c:v>
                </c:pt>
                <c:pt idx="3">
                  <c:v>1.6</c:v>
                </c:pt>
                <c:pt idx="4">
                  <c:v>1.595</c:v>
                </c:pt>
                <c:pt idx="5">
                  <c:v>1.59</c:v>
                </c:pt>
                <c:pt idx="6">
                  <c:v>1.585</c:v>
                </c:pt>
                <c:pt idx="7">
                  <c:v>1.58</c:v>
                </c:pt>
                <c:pt idx="8">
                  <c:v>1.575</c:v>
                </c:pt>
                <c:pt idx="9">
                  <c:v>1.57</c:v>
                </c:pt>
                <c:pt idx="10">
                  <c:v>1.56</c:v>
                </c:pt>
                <c:pt idx="11">
                  <c:v>1.55</c:v>
                </c:pt>
                <c:pt idx="12">
                  <c:v>1.54</c:v>
                </c:pt>
                <c:pt idx="13">
                  <c:v>1.53</c:v>
                </c:pt>
                <c:pt idx="14">
                  <c:v>1.52</c:v>
                </c:pt>
                <c:pt idx="15">
                  <c:v>1.51</c:v>
                </c:pt>
                <c:pt idx="16">
                  <c:v>1.5</c:v>
                </c:pt>
                <c:pt idx="17">
                  <c:v>1.49</c:v>
                </c:pt>
                <c:pt idx="18">
                  <c:v>1.48</c:v>
                </c:pt>
                <c:pt idx="19">
                  <c:v>1.47</c:v>
                </c:pt>
                <c:pt idx="20">
                  <c:v>1.4618999999999998</c:v>
                </c:pt>
                <c:pt idx="21">
                  <c:v>1.4518999999999997</c:v>
                </c:pt>
                <c:pt idx="22">
                  <c:v>1.4418999999999997</c:v>
                </c:pt>
                <c:pt idx="23">
                  <c:v>1.4318999999999997</c:v>
                </c:pt>
                <c:pt idx="24">
                  <c:v>1.4218999999999997</c:v>
                </c:pt>
                <c:pt idx="25">
                  <c:v>1.4118999999999997</c:v>
                </c:pt>
                <c:pt idx="26">
                  <c:v>1.4018999999999997</c:v>
                </c:pt>
                <c:pt idx="27">
                  <c:v>1.3918999999999997</c:v>
                </c:pt>
                <c:pt idx="28">
                  <c:v>1.3869000000000018</c:v>
                </c:pt>
                <c:pt idx="29">
                  <c:v>1.3699000000000001</c:v>
                </c:pt>
                <c:pt idx="30">
                  <c:v>1.357354545454547</c:v>
                </c:pt>
                <c:pt idx="31">
                  <c:v>1.339172727272729</c:v>
                </c:pt>
                <c:pt idx="32">
                  <c:v>1.3209909090909107</c:v>
                </c:pt>
                <c:pt idx="33">
                  <c:v>1.3028090909090924</c:v>
                </c:pt>
                <c:pt idx="34">
                  <c:v>1.2846272727272743</c:v>
                </c:pt>
                <c:pt idx="35">
                  <c:v>1.2718999999999998</c:v>
                </c:pt>
                <c:pt idx="36">
                  <c:v>1.2582636363636379</c:v>
                </c:pt>
                <c:pt idx="37">
                  <c:v>1.2400818181818196</c:v>
                </c:pt>
                <c:pt idx="38">
                  <c:v>1.2219000000000013</c:v>
                </c:pt>
                <c:pt idx="39">
                  <c:v>1.2037181818181835</c:v>
                </c:pt>
                <c:pt idx="40">
                  <c:v>1.1855363636363652</c:v>
                </c:pt>
                <c:pt idx="41">
                  <c:v>1.1673545454545471</c:v>
                </c:pt>
                <c:pt idx="42">
                  <c:v>1.149172727272729</c:v>
                </c:pt>
                <c:pt idx="43">
                  <c:v>1.1309909090909109</c:v>
                </c:pt>
                <c:pt idx="44">
                  <c:v>1.1128090909090924</c:v>
                </c:pt>
                <c:pt idx="45">
                  <c:v>1.0946272727272743</c:v>
                </c:pt>
                <c:pt idx="46">
                  <c:v>1.0764454545454563</c:v>
                </c:pt>
                <c:pt idx="47">
                  <c:v>1.0582636363636382</c:v>
                </c:pt>
                <c:pt idx="48">
                  <c:v>1.0400818181818199</c:v>
                </c:pt>
                <c:pt idx="49">
                  <c:v>1.0219000000000018</c:v>
                </c:pt>
                <c:pt idx="50">
                  <c:v>1.0019000000000018</c:v>
                </c:pt>
                <c:pt idx="51">
                  <c:v>0.98170000000000157</c:v>
                </c:pt>
                <c:pt idx="52">
                  <c:v>0.9618000000000011</c:v>
                </c:pt>
                <c:pt idx="53">
                  <c:v>0.94180000000000064</c:v>
                </c:pt>
                <c:pt idx="54">
                  <c:v>0.92180000000000017</c:v>
                </c:pt>
                <c:pt idx="55">
                  <c:v>0.90180000000000016</c:v>
                </c:pt>
                <c:pt idx="56">
                  <c:v>0.88180000000000014</c:v>
                </c:pt>
                <c:pt idx="57">
                  <c:v>0.86180000000000034</c:v>
                </c:pt>
                <c:pt idx="58">
                  <c:v>0.84180000000000033</c:v>
                </c:pt>
                <c:pt idx="59">
                  <c:v>0.8218000000000002</c:v>
                </c:pt>
                <c:pt idx="60">
                  <c:v>0.80816363636363653</c:v>
                </c:pt>
                <c:pt idx="61">
                  <c:v>0.79452727272727286</c:v>
                </c:pt>
                <c:pt idx="62">
                  <c:v>0.78089090909090919</c:v>
                </c:pt>
                <c:pt idx="63">
                  <c:v>0.76725454545454552</c:v>
                </c:pt>
                <c:pt idx="64">
                  <c:v>0.75361818181818185</c:v>
                </c:pt>
                <c:pt idx="65">
                  <c:v>0.73998181818181819</c:v>
                </c:pt>
                <c:pt idx="66">
                  <c:v>0.72634545454545452</c:v>
                </c:pt>
                <c:pt idx="67">
                  <c:v>0.71270909090909096</c:v>
                </c:pt>
                <c:pt idx="68">
                  <c:v>0.69907272727272729</c:v>
                </c:pt>
                <c:pt idx="69">
                  <c:v>0.68543636363636373</c:v>
                </c:pt>
                <c:pt idx="70">
                  <c:v>0.67179999999999995</c:v>
                </c:pt>
                <c:pt idx="71">
                  <c:v>0.65680000000000005</c:v>
                </c:pt>
                <c:pt idx="72">
                  <c:v>0.64179999999999993</c:v>
                </c:pt>
                <c:pt idx="73">
                  <c:v>0.62680000000000002</c:v>
                </c:pt>
                <c:pt idx="74">
                  <c:v>0.6117999999999999</c:v>
                </c:pt>
                <c:pt idx="75">
                  <c:v>0.5968</c:v>
                </c:pt>
                <c:pt idx="76">
                  <c:v>0.58180000000000009</c:v>
                </c:pt>
                <c:pt idx="77">
                  <c:v>0.56679999999999997</c:v>
                </c:pt>
                <c:pt idx="78">
                  <c:v>0.55180000000000007</c:v>
                </c:pt>
                <c:pt idx="79">
                  <c:v>0.53679999999999994</c:v>
                </c:pt>
                <c:pt idx="80">
                  <c:v>0.52179999999999982</c:v>
                </c:pt>
                <c:pt idx="81">
                  <c:v>0.51270909090909067</c:v>
                </c:pt>
                <c:pt idx="82">
                  <c:v>0.50361818181818174</c:v>
                </c:pt>
                <c:pt idx="83">
                  <c:v>0.49452727272727259</c:v>
                </c:pt>
                <c:pt idx="84">
                  <c:v>0.48543636363636355</c:v>
                </c:pt>
                <c:pt idx="85">
                  <c:v>0.47634545454545441</c:v>
                </c:pt>
                <c:pt idx="86">
                  <c:v>0.46725454545454537</c:v>
                </c:pt>
                <c:pt idx="87">
                  <c:v>0.45816363636363622</c:v>
                </c:pt>
                <c:pt idx="88">
                  <c:v>0.44907272727272718</c:v>
                </c:pt>
                <c:pt idx="89">
                  <c:v>0.43998181818181803</c:v>
                </c:pt>
                <c:pt idx="90">
                  <c:v>0.43089090909090899</c:v>
                </c:pt>
                <c:pt idx="91">
                  <c:v>0.42179999999999995</c:v>
                </c:pt>
                <c:pt idx="92">
                  <c:v>0.41068888888888888</c:v>
                </c:pt>
                <c:pt idx="93">
                  <c:v>0.40957777777777782</c:v>
                </c:pt>
                <c:pt idx="94">
                  <c:v>0.40846666666666676</c:v>
                </c:pt>
                <c:pt idx="95">
                  <c:v>0.40735555555555569</c:v>
                </c:pt>
                <c:pt idx="96">
                  <c:v>0.40624444444444463</c:v>
                </c:pt>
                <c:pt idx="97">
                  <c:v>0.40513333333333357</c:v>
                </c:pt>
                <c:pt idx="98">
                  <c:v>0.40402222222222228</c:v>
                </c:pt>
                <c:pt idx="99">
                  <c:v>0.40291111111111122</c:v>
                </c:pt>
                <c:pt idx="100">
                  <c:v>0.40000000000000013</c:v>
                </c:pt>
              </c:numCache>
            </c:numRef>
          </c:xVal>
          <c:yVal>
            <c:numRef>
              <c:f>'l-q'!$B$3:$B$103</c:f>
              <c:numCache>
                <c:formatCode>0.00%</c:formatCode>
                <c:ptCount val="101"/>
                <c:pt idx="0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  <c:pt idx="31">
                  <c:v>0.31</c:v>
                </c:pt>
                <c:pt idx="32">
                  <c:v>0.32</c:v>
                </c:pt>
                <c:pt idx="33">
                  <c:v>0.33</c:v>
                </c:pt>
                <c:pt idx="34">
                  <c:v>0.34</c:v>
                </c:pt>
                <c:pt idx="35">
                  <c:v>0.35</c:v>
                </c:pt>
                <c:pt idx="36">
                  <c:v>0.36</c:v>
                </c:pt>
                <c:pt idx="37">
                  <c:v>0.37</c:v>
                </c:pt>
                <c:pt idx="38">
                  <c:v>0.38</c:v>
                </c:pt>
                <c:pt idx="39">
                  <c:v>0.39</c:v>
                </c:pt>
                <c:pt idx="40">
                  <c:v>0.4</c:v>
                </c:pt>
                <c:pt idx="41">
                  <c:v>0.41</c:v>
                </c:pt>
                <c:pt idx="42">
                  <c:v>0.42</c:v>
                </c:pt>
                <c:pt idx="43">
                  <c:v>0.43</c:v>
                </c:pt>
                <c:pt idx="44">
                  <c:v>0.44</c:v>
                </c:pt>
                <c:pt idx="45">
                  <c:v>0.45</c:v>
                </c:pt>
                <c:pt idx="46">
                  <c:v>0.46</c:v>
                </c:pt>
                <c:pt idx="47">
                  <c:v>0.47</c:v>
                </c:pt>
                <c:pt idx="48">
                  <c:v>0.48</c:v>
                </c:pt>
                <c:pt idx="49">
                  <c:v>0.49</c:v>
                </c:pt>
                <c:pt idx="50">
                  <c:v>0.5</c:v>
                </c:pt>
                <c:pt idx="51">
                  <c:v>0.51</c:v>
                </c:pt>
                <c:pt idx="52">
                  <c:v>0.52</c:v>
                </c:pt>
                <c:pt idx="53">
                  <c:v>0.53</c:v>
                </c:pt>
                <c:pt idx="54">
                  <c:v>0.54</c:v>
                </c:pt>
                <c:pt idx="55">
                  <c:v>0.55000000000000004</c:v>
                </c:pt>
                <c:pt idx="56">
                  <c:v>0.56000000000000005</c:v>
                </c:pt>
                <c:pt idx="57">
                  <c:v>0.56999999999999995</c:v>
                </c:pt>
                <c:pt idx="58">
                  <c:v>0.57999999999999996</c:v>
                </c:pt>
                <c:pt idx="59">
                  <c:v>0.59</c:v>
                </c:pt>
                <c:pt idx="60">
                  <c:v>0.6</c:v>
                </c:pt>
                <c:pt idx="61">
                  <c:v>0.61</c:v>
                </c:pt>
                <c:pt idx="62">
                  <c:v>0.62</c:v>
                </c:pt>
                <c:pt idx="63">
                  <c:v>0.63</c:v>
                </c:pt>
                <c:pt idx="64">
                  <c:v>0.64</c:v>
                </c:pt>
                <c:pt idx="65">
                  <c:v>0.65</c:v>
                </c:pt>
                <c:pt idx="66">
                  <c:v>0.66</c:v>
                </c:pt>
                <c:pt idx="67">
                  <c:v>0.67</c:v>
                </c:pt>
                <c:pt idx="68">
                  <c:v>0.68</c:v>
                </c:pt>
                <c:pt idx="69">
                  <c:v>0.69</c:v>
                </c:pt>
                <c:pt idx="70">
                  <c:v>0.7</c:v>
                </c:pt>
                <c:pt idx="71">
                  <c:v>0.71</c:v>
                </c:pt>
                <c:pt idx="72">
                  <c:v>0.72</c:v>
                </c:pt>
                <c:pt idx="73">
                  <c:v>0.73</c:v>
                </c:pt>
                <c:pt idx="74">
                  <c:v>0.74</c:v>
                </c:pt>
                <c:pt idx="75">
                  <c:v>0.75</c:v>
                </c:pt>
                <c:pt idx="76">
                  <c:v>0.76</c:v>
                </c:pt>
                <c:pt idx="77">
                  <c:v>0.77</c:v>
                </c:pt>
                <c:pt idx="78">
                  <c:v>0.78</c:v>
                </c:pt>
                <c:pt idx="79">
                  <c:v>0.79</c:v>
                </c:pt>
                <c:pt idx="80">
                  <c:v>0.8</c:v>
                </c:pt>
                <c:pt idx="81">
                  <c:v>0.81</c:v>
                </c:pt>
                <c:pt idx="82">
                  <c:v>0.82</c:v>
                </c:pt>
                <c:pt idx="83">
                  <c:v>0.83</c:v>
                </c:pt>
                <c:pt idx="84">
                  <c:v>0.84</c:v>
                </c:pt>
                <c:pt idx="85">
                  <c:v>0.85</c:v>
                </c:pt>
                <c:pt idx="86">
                  <c:v>0.86</c:v>
                </c:pt>
                <c:pt idx="87">
                  <c:v>0.87</c:v>
                </c:pt>
                <c:pt idx="88">
                  <c:v>0.88</c:v>
                </c:pt>
                <c:pt idx="89">
                  <c:v>0.89</c:v>
                </c:pt>
                <c:pt idx="90">
                  <c:v>0.9</c:v>
                </c:pt>
                <c:pt idx="91">
                  <c:v>0.91</c:v>
                </c:pt>
                <c:pt idx="92">
                  <c:v>0.92</c:v>
                </c:pt>
                <c:pt idx="93">
                  <c:v>0.93</c:v>
                </c:pt>
                <c:pt idx="94">
                  <c:v>0.94</c:v>
                </c:pt>
                <c:pt idx="95">
                  <c:v>0.95</c:v>
                </c:pt>
                <c:pt idx="96">
                  <c:v>0.96</c:v>
                </c:pt>
                <c:pt idx="97">
                  <c:v>0.97</c:v>
                </c:pt>
                <c:pt idx="98">
                  <c:v>0.98</c:v>
                </c:pt>
                <c:pt idx="99">
                  <c:v>0.99</c:v>
                </c:pt>
                <c:pt idx="10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5CD-4028-965E-D53C41550486}"/>
            </c:ext>
          </c:extLst>
        </c:ser>
        <c:ser>
          <c:idx val="1"/>
          <c:order val="1"/>
          <c:tx>
            <c:v>Valmet</c:v>
          </c:tx>
          <c:spPr>
            <a:ln w="19050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'l-q'!$L$3:$L$13</c:f>
              <c:numCache>
                <c:formatCode>0%</c:formatCode>
                <c:ptCount val="11"/>
                <c:pt idx="0">
                  <c:v>0.68620000000000003</c:v>
                </c:pt>
                <c:pt idx="1">
                  <c:v>1.3</c:v>
                </c:pt>
                <c:pt idx="2">
                  <c:v>1.6</c:v>
                </c:pt>
                <c:pt idx="3">
                  <c:v>1.5</c:v>
                </c:pt>
                <c:pt idx="4">
                  <c:v>1.3</c:v>
                </c:pt>
                <c:pt idx="5">
                  <c:v>1.1000000000000001</c:v>
                </c:pt>
                <c:pt idx="6">
                  <c:v>0.9</c:v>
                </c:pt>
                <c:pt idx="7">
                  <c:v>0.75</c:v>
                </c:pt>
                <c:pt idx="8">
                  <c:v>0.6</c:v>
                </c:pt>
                <c:pt idx="9">
                  <c:v>0.5</c:v>
                </c:pt>
                <c:pt idx="10">
                  <c:v>0.4</c:v>
                </c:pt>
              </c:numCache>
            </c:numRef>
          </c:xVal>
          <c:yVal>
            <c:numRef>
              <c:f>'l-q'!$K$3:$K$13</c:f>
              <c:numCache>
                <c:formatCode>0.00%</c:formatCode>
                <c:ptCount val="11"/>
                <c:pt idx="0">
                  <c:v>0</c:v>
                </c:pt>
                <c:pt idx="1">
                  <c:v>6.8221694498850655E-2</c:v>
                </c:pt>
                <c:pt idx="2">
                  <c:v>0.16825350461446742</c:v>
                </c:pt>
                <c:pt idx="3">
                  <c:v>0.26828531473008421</c:v>
                </c:pt>
                <c:pt idx="4">
                  <c:v>0.36831712484570095</c:v>
                </c:pt>
                <c:pt idx="5">
                  <c:v>0.46834893496131769</c:v>
                </c:pt>
                <c:pt idx="6">
                  <c:v>0.56838074507693448</c:v>
                </c:pt>
                <c:pt idx="7">
                  <c:v>0.66841255519255127</c:v>
                </c:pt>
                <c:pt idx="8">
                  <c:v>0.76844436530816795</c:v>
                </c:pt>
                <c:pt idx="9">
                  <c:v>0.86847617542378486</c:v>
                </c:pt>
                <c:pt idx="10">
                  <c:v>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B37-4615-9E9F-78C80A422C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9713167"/>
        <c:axId val="129715087"/>
      </c:scatterChart>
      <c:valAx>
        <c:axId val="129713167"/>
        <c:scaling>
          <c:orientation val="minMax"/>
          <c:min val="0.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Heat flux multiplier</a:t>
                </a:r>
                <a:r>
                  <a:rPr lang="en-GB" sz="1200" baseline="0"/>
                  <a:t> </a:t>
                </a:r>
                <a:r>
                  <a:rPr lang="en-GB" sz="1200"/>
                  <a:t>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29715087"/>
        <c:crosses val="autoZero"/>
        <c:crossBetween val="midCat"/>
      </c:valAx>
      <c:valAx>
        <c:axId val="129715087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0" i="0" u="none" strike="noStrike" baseline="0">
                    <a:effectLst/>
                  </a:rPr>
                  <a:t>Furnace height from primary air port to nose arch upper edge (%)</a:t>
                </a:r>
                <a:endParaRPr lang="en-GB" sz="1200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%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12971316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852695870225583"/>
          <c:y val="3.8330555987496434E-2"/>
          <c:w val="0.70393519477648925"/>
          <c:h val="0.82664439892399788"/>
        </c:manualLayout>
      </c:layout>
      <c:scatterChart>
        <c:scatterStyle val="lineMarker"/>
        <c:varyColors val="0"/>
        <c:ser>
          <c:idx val="0"/>
          <c:order val="0"/>
          <c:tx>
            <c:v>304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'T-xd, CR-xd'!$D$4:$D$12</c:f>
              <c:numCache>
                <c:formatCode>0.00</c:formatCode>
                <c:ptCount val="9"/>
                <c:pt idx="0">
                  <c:v>0</c:v>
                </c:pt>
                <c:pt idx="1">
                  <c:v>24.999999999999996</c:v>
                </c:pt>
                <c:pt idx="2">
                  <c:v>49.999999999999993</c:v>
                </c:pt>
                <c:pt idx="3">
                  <c:v>75</c:v>
                </c:pt>
                <c:pt idx="4">
                  <c:v>99.999999999999986</c:v>
                </c:pt>
                <c:pt idx="5">
                  <c:v>125</c:v>
                </c:pt>
                <c:pt idx="6">
                  <c:v>150</c:v>
                </c:pt>
                <c:pt idx="7">
                  <c:v>174.99999999999997</c:v>
                </c:pt>
                <c:pt idx="8">
                  <c:v>199.99999999999997</c:v>
                </c:pt>
              </c:numCache>
            </c:numRef>
          </c:xVal>
          <c:yVal>
            <c:numRef>
              <c:f>'T-xd, CR-xd'!$I$4:$I$12</c:f>
              <c:numCache>
                <c:formatCode>0.000</c:formatCode>
                <c:ptCount val="9"/>
                <c:pt idx="0">
                  <c:v>0</c:v>
                </c:pt>
                <c:pt idx="1">
                  <c:v>8.2102422490266669E-2</c:v>
                </c:pt>
                <c:pt idx="2">
                  <c:v>0.21747817456849639</c:v>
                </c:pt>
                <c:pt idx="3">
                  <c:v>0.34895529697507577</c:v>
                </c:pt>
                <c:pt idx="4">
                  <c:v>0.47653378971000215</c:v>
                </c:pt>
                <c:pt idx="5">
                  <c:v>0.60021365277327732</c:v>
                </c:pt>
                <c:pt idx="6">
                  <c:v>0.71999488616489948</c:v>
                </c:pt>
                <c:pt idx="7">
                  <c:v>0.8358774898848722</c:v>
                </c:pt>
                <c:pt idx="8">
                  <c:v>0.94786146393319015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60C8-4013-B8A2-4B0AE7743D5C}"/>
            </c:ext>
          </c:extLst>
        </c:ser>
        <c:ser>
          <c:idx val="1"/>
          <c:order val="1"/>
          <c:tx>
            <c:v>Sanicro 38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'T-xd, CR-xd'!$D$4:$D$12</c:f>
              <c:numCache>
                <c:formatCode>0.00</c:formatCode>
                <c:ptCount val="9"/>
                <c:pt idx="0">
                  <c:v>0</c:v>
                </c:pt>
                <c:pt idx="1">
                  <c:v>24.999999999999996</c:v>
                </c:pt>
                <c:pt idx="2">
                  <c:v>49.999999999999993</c:v>
                </c:pt>
                <c:pt idx="3">
                  <c:v>75</c:v>
                </c:pt>
                <c:pt idx="4">
                  <c:v>99.999999999999986</c:v>
                </c:pt>
                <c:pt idx="5">
                  <c:v>125</c:v>
                </c:pt>
                <c:pt idx="6">
                  <c:v>150</c:v>
                </c:pt>
                <c:pt idx="7">
                  <c:v>174.99999999999997</c:v>
                </c:pt>
                <c:pt idx="8">
                  <c:v>199.99999999999997</c:v>
                </c:pt>
              </c:numCache>
            </c:numRef>
          </c:xVal>
          <c:yVal>
            <c:numRef>
              <c:f>'T-xd, CR-xd'!$J$4:$J$12</c:f>
              <c:numCache>
                <c:formatCode>0.000</c:formatCode>
                <c:ptCount val="9"/>
                <c:pt idx="0">
                  <c:v>0</c:v>
                </c:pt>
                <c:pt idx="1">
                  <c:v>4.2101940309227093E-3</c:v>
                </c:pt>
                <c:pt idx="2">
                  <c:v>1.4155726412919734E-2</c:v>
                </c:pt>
                <c:pt idx="3">
                  <c:v>2.941229440964932E-2</c:v>
                </c:pt>
                <c:pt idx="4">
                  <c:v>4.9979898021111246E-2</c:v>
                </c:pt>
                <c:pt idx="5">
                  <c:v>7.5858537247305957E-2</c:v>
                </c:pt>
                <c:pt idx="6">
                  <c:v>0.10704821208823301</c:v>
                </c:pt>
                <c:pt idx="7">
                  <c:v>0.1435489225438924</c:v>
                </c:pt>
                <c:pt idx="8">
                  <c:v>0.18536066861428369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0C8-4013-B8A2-4B0AE7743D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31864512"/>
        <c:axId val="2131864992"/>
      </c:scatterChart>
      <c:valAx>
        <c:axId val="21318645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/>
                  <a:t>Internal deposit thickness (</a:t>
                </a:r>
                <a:r>
                  <a:rPr lang="el-GR" sz="1200"/>
                  <a:t>μ</a:t>
                </a:r>
                <a:r>
                  <a:rPr lang="en-GB" sz="1200"/>
                  <a:t>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2131864992"/>
        <c:crosses val="autoZero"/>
        <c:crossBetween val="midCat"/>
      </c:valAx>
      <c:valAx>
        <c:axId val="2131864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 sz="1200" b="0" i="0" u="none" strike="noStrike" kern="1200" baseline="0">
                    <a:solidFill>
                      <a:sysClr val="windowText" lastClr="000000">
                        <a:lumMod val="65000"/>
                        <a:lumOff val="35000"/>
                      </a:sysClr>
                    </a:solidFill>
                  </a:rPr>
                  <a:t>Corrosion rate (mm/y)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sv-SE"/>
            </a:p>
          </c:txPr>
        </c:title>
        <c:numFmt formatCode="0.0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v-SE"/>
          </a:p>
        </c:txPr>
        <c:crossAx val="21318645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v-S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sv-S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5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7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7" Type="http://schemas.openxmlformats.org/officeDocument/2006/relationships/chart" Target="../charts/chart7.xml"/><Relationship Id="rId2" Type="http://schemas.openxmlformats.org/officeDocument/2006/relationships/image" Target="../media/image1.png"/><Relationship Id="rId1" Type="http://schemas.openxmlformats.org/officeDocument/2006/relationships/chart" Target="../charts/chart3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chart" Target="../charts/chart8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.xml"/><Relationship Id="rId2" Type="http://schemas.openxmlformats.org/officeDocument/2006/relationships/chart" Target="../charts/chart10.xml"/><Relationship Id="rId1" Type="http://schemas.openxmlformats.org/officeDocument/2006/relationships/chart" Target="../charts/chart9.xml"/><Relationship Id="rId4" Type="http://schemas.openxmlformats.org/officeDocument/2006/relationships/chart" Target="../charts/chart12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209549</xdr:colOff>
      <xdr:row>5</xdr:row>
      <xdr:rowOff>1</xdr:rowOff>
    </xdr:from>
    <xdr:to>
      <xdr:col>21</xdr:col>
      <xdr:colOff>104774</xdr:colOff>
      <xdr:row>34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502D3C6-8350-484B-A795-2D3D313A70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15</xdr:row>
      <xdr:rowOff>4761</xdr:rowOff>
    </xdr:from>
    <xdr:to>
      <xdr:col>23</xdr:col>
      <xdr:colOff>401638</xdr:colOff>
      <xdr:row>46</xdr:row>
      <xdr:rowOff>9524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29104A1-4255-43FB-7967-FF8FC89CD1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</xdr:colOff>
      <xdr:row>8</xdr:row>
      <xdr:rowOff>190498</xdr:rowOff>
    </xdr:from>
    <xdr:to>
      <xdr:col>13</xdr:col>
      <xdr:colOff>76200</xdr:colOff>
      <xdr:row>36</xdr:row>
      <xdr:rowOff>66634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42D8298-7E9B-4146-9563-02CF232443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14</xdr:col>
      <xdr:colOff>38100</xdr:colOff>
      <xdr:row>2</xdr:row>
      <xdr:rowOff>28576</xdr:rowOff>
    </xdr:from>
    <xdr:to>
      <xdr:col>23</xdr:col>
      <xdr:colOff>333375</xdr:colOff>
      <xdr:row>20</xdr:row>
      <xdr:rowOff>29922</xdr:rowOff>
    </xdr:to>
    <xdr:pic>
      <xdr:nvPicPr>
        <xdr:cNvPr id="4" name="Kuva 11">
          <a:extLst>
            <a:ext uri="{FF2B5EF4-FFF2-40B4-BE49-F238E27FC236}">
              <a16:creationId xmlns:a16="http://schemas.microsoft.com/office/drawing/2014/main" id="{46CEFDEC-C670-86B5-43CB-B9E57D859E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86975" y="647701"/>
          <a:ext cx="6210300" cy="3620846"/>
        </a:xfrm>
        <a:prstGeom prst="rect">
          <a:avLst/>
        </a:prstGeom>
      </xdr:spPr>
    </xdr:pic>
    <xdr:clientData/>
  </xdr:twoCellAnchor>
  <xdr:twoCellAnchor editAs="oneCell">
    <xdr:from>
      <xdr:col>14</xdr:col>
      <xdr:colOff>38100</xdr:colOff>
      <xdr:row>20</xdr:row>
      <xdr:rowOff>161925</xdr:rowOff>
    </xdr:from>
    <xdr:to>
      <xdr:col>21</xdr:col>
      <xdr:colOff>657225</xdr:colOff>
      <xdr:row>39</xdr:row>
      <xdr:rowOff>80179</xdr:rowOff>
    </xdr:to>
    <xdr:pic>
      <xdr:nvPicPr>
        <xdr:cNvPr id="5" name="Kuva 9">
          <a:extLst>
            <a:ext uri="{FF2B5EF4-FFF2-40B4-BE49-F238E27FC236}">
              <a16:creationId xmlns:a16="http://schemas.microsoft.com/office/drawing/2014/main" id="{830DA1E6-6C5F-5561-977A-17D7746875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86975" y="4400550"/>
          <a:ext cx="5105400" cy="3537754"/>
        </a:xfrm>
        <a:prstGeom prst="rect">
          <a:avLst/>
        </a:prstGeom>
      </xdr:spPr>
    </xdr:pic>
    <xdr:clientData/>
  </xdr:twoCellAnchor>
  <xdr:twoCellAnchor>
    <xdr:from>
      <xdr:col>0</xdr:col>
      <xdr:colOff>219074</xdr:colOff>
      <xdr:row>37</xdr:row>
      <xdr:rowOff>123826</xdr:rowOff>
    </xdr:from>
    <xdr:to>
      <xdr:col>13</xdr:col>
      <xdr:colOff>57150</xdr:colOff>
      <xdr:row>59</xdr:row>
      <xdr:rowOff>171451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276EA1C-187D-4CDD-9F81-3C2D85C893F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61</xdr:row>
      <xdr:rowOff>0</xdr:rowOff>
    </xdr:from>
    <xdr:to>
      <xdr:col>14</xdr:col>
      <xdr:colOff>1671</xdr:colOff>
      <xdr:row>83</xdr:row>
      <xdr:rowOff>161925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F818EC5E-025D-4FE8-8428-4D097A9843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85</xdr:row>
      <xdr:rowOff>0</xdr:rowOff>
    </xdr:from>
    <xdr:to>
      <xdr:col>14</xdr:col>
      <xdr:colOff>1671</xdr:colOff>
      <xdr:row>111</xdr:row>
      <xdr:rowOff>38100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A4B4A26F-DE9D-4C26-9D20-418CA8FAA32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112</xdr:row>
      <xdr:rowOff>0</xdr:rowOff>
    </xdr:from>
    <xdr:to>
      <xdr:col>14</xdr:col>
      <xdr:colOff>1671</xdr:colOff>
      <xdr:row>138</xdr:row>
      <xdr:rowOff>38100</xdr:rowOff>
    </xdr:to>
    <xdr:graphicFrame macro="">
      <xdr:nvGraphicFramePr>
        <xdr:cNvPr id="8" name="Chart 7">
          <a:extLst>
            <a:ext uri="{FF2B5EF4-FFF2-40B4-BE49-F238E27FC236}">
              <a16:creationId xmlns:a16="http://schemas.microsoft.com/office/drawing/2014/main" id="{73542FB8-37F2-42AB-AD00-2797FBB6ED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2381</xdr:colOff>
      <xdr:row>16</xdr:row>
      <xdr:rowOff>186531</xdr:rowOff>
    </xdr:from>
    <xdr:to>
      <xdr:col>10</xdr:col>
      <xdr:colOff>539748</xdr:colOff>
      <xdr:row>56</xdr:row>
      <xdr:rowOff>154515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00A6191-E738-4DA5-8F46-22E1341014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12</xdr:col>
      <xdr:colOff>10318</xdr:colOff>
      <xdr:row>17</xdr:row>
      <xdr:rowOff>10848</xdr:rowOff>
    </xdr:from>
    <xdr:to>
      <xdr:col>23</xdr:col>
      <xdr:colOff>478352</xdr:colOff>
      <xdr:row>57</xdr:row>
      <xdr:rowOff>21165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8997FFF-EA90-41D2-9A83-EF2904B91EF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29901" y="3693848"/>
          <a:ext cx="6468784" cy="763031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0.54762</cdr:x>
      <cdr:y>0.01759</cdr:y>
    </cdr:from>
    <cdr:to>
      <cdr:x>0.54762</cdr:x>
      <cdr:y>0.92449</cdr:y>
    </cdr:to>
    <cdr:cxnSp macro="">
      <cdr:nvCxnSpPr>
        <cdr:cNvPr id="3" name="Straight Connector 2">
          <a:extLst xmlns:a="http://schemas.openxmlformats.org/drawingml/2006/main">
            <a:ext uri="{FF2B5EF4-FFF2-40B4-BE49-F238E27FC236}">
              <a16:creationId xmlns:a16="http://schemas.microsoft.com/office/drawing/2014/main" id="{BEE68998-E70B-A536-997F-2BF4B7F5929D}"/>
            </a:ext>
          </a:extLst>
        </cdr:cNvPr>
        <cdr:cNvCxnSpPr/>
      </cdr:nvCxnSpPr>
      <cdr:spPr>
        <a:xfrm xmlns:a="http://schemas.openxmlformats.org/drawingml/2006/main" flipV="1">
          <a:off x="3116749" y="154332"/>
          <a:ext cx="0" cy="7956469"/>
        </a:xfrm>
        <a:prstGeom xmlns:a="http://schemas.openxmlformats.org/drawingml/2006/main" prst="line">
          <a:avLst/>
        </a:prstGeom>
        <a:ln xmlns:a="http://schemas.openxmlformats.org/drawingml/2006/main" w="28575">
          <a:solidFill>
            <a:schemeClr val="accent2"/>
          </a:solidFill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1</xdr:colOff>
      <xdr:row>19</xdr:row>
      <xdr:rowOff>4763</xdr:rowOff>
    </xdr:from>
    <xdr:to>
      <xdr:col>19</xdr:col>
      <xdr:colOff>790575</xdr:colOff>
      <xdr:row>40</xdr:row>
      <xdr:rowOff>19051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19AD51B9-BED0-3437-C80A-5360CAC5975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0</xdr:colOff>
      <xdr:row>40</xdr:row>
      <xdr:rowOff>180975</xdr:rowOff>
    </xdr:from>
    <xdr:to>
      <xdr:col>20</xdr:col>
      <xdr:colOff>0</xdr:colOff>
      <xdr:row>61</xdr:row>
      <xdr:rowOff>9525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1C54066A-2BCF-4708-BB60-26B18D2561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41</xdr:row>
      <xdr:rowOff>0</xdr:rowOff>
    </xdr:from>
    <xdr:to>
      <xdr:col>12</xdr:col>
      <xdr:colOff>0</xdr:colOff>
      <xdr:row>61</xdr:row>
      <xdr:rowOff>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182D44BA-D4BA-4C35-871D-8CDD944951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1</xdr:colOff>
      <xdr:row>19</xdr:row>
      <xdr:rowOff>0</xdr:rowOff>
    </xdr:from>
    <xdr:to>
      <xdr:col>12</xdr:col>
      <xdr:colOff>9525</xdr:colOff>
      <xdr:row>39</xdr:row>
      <xdr:rowOff>190499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F1B2F16-8F68-4377-AC19-332CC6A9A2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16</xdr:row>
      <xdr:rowOff>4761</xdr:rowOff>
    </xdr:from>
    <xdr:to>
      <xdr:col>15</xdr:col>
      <xdr:colOff>228600</xdr:colOff>
      <xdr:row>60</xdr:row>
      <xdr:rowOff>133350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D5E5BB1-E1F6-6E38-158E-B2116B32263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495300</xdr:colOff>
      <xdr:row>3</xdr:row>
      <xdr:rowOff>152400</xdr:rowOff>
    </xdr:from>
    <xdr:to>
      <xdr:col>3</xdr:col>
      <xdr:colOff>304799</xdr:colOff>
      <xdr:row>40</xdr:row>
      <xdr:rowOff>28575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F8858687-E7C3-D0B0-02CE-B6840770888C}"/>
            </a:ext>
          </a:extLst>
        </xdr:cNvPr>
        <xdr:cNvSpPr/>
      </xdr:nvSpPr>
      <xdr:spPr>
        <a:xfrm>
          <a:off x="714375" y="723900"/>
          <a:ext cx="1028699" cy="6924675"/>
        </a:xfrm>
        <a:prstGeom prst="rect">
          <a:avLst/>
        </a:prstGeom>
        <a:gradFill flip="none" rotWithShape="1">
          <a:gsLst>
            <a:gs pos="0">
              <a:schemeClr val="accent1">
                <a:tint val="66000"/>
                <a:satMod val="160000"/>
              </a:schemeClr>
            </a:gs>
            <a:gs pos="50000">
              <a:schemeClr val="accent1">
                <a:tint val="44500"/>
                <a:satMod val="160000"/>
              </a:schemeClr>
            </a:gs>
            <a:gs pos="100000">
              <a:schemeClr val="accent1">
                <a:tint val="23500"/>
                <a:satMod val="160000"/>
              </a:schemeClr>
            </a:gs>
          </a:gsLst>
          <a:lin ang="16200000" scaled="1"/>
          <a:tileRect/>
        </a:gradFill>
        <a:ln>
          <a:solidFill>
            <a:schemeClr val="tx2">
              <a:lumMod val="20000"/>
              <a:lumOff val="8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314325</xdr:colOff>
      <xdr:row>3</xdr:row>
      <xdr:rowOff>142875</xdr:rowOff>
    </xdr:from>
    <xdr:to>
      <xdr:col>3</xdr:col>
      <xdr:colOff>419100</xdr:colOff>
      <xdr:row>40</xdr:row>
      <xdr:rowOff>38100</xdr:rowOff>
    </xdr:to>
    <xdr:sp macro="" textlink="">
      <xdr:nvSpPr>
        <xdr:cNvPr id="4" name="Rectangle 3">
          <a:extLst>
            <a:ext uri="{FF2B5EF4-FFF2-40B4-BE49-F238E27FC236}">
              <a16:creationId xmlns:a16="http://schemas.microsoft.com/office/drawing/2014/main" id="{D7CC97AA-4468-F8EC-3860-99132C3714DF}"/>
            </a:ext>
          </a:extLst>
        </xdr:cNvPr>
        <xdr:cNvSpPr/>
      </xdr:nvSpPr>
      <xdr:spPr>
        <a:xfrm>
          <a:off x="1752600" y="714375"/>
          <a:ext cx="104775" cy="6943725"/>
        </a:xfrm>
        <a:prstGeom prst="rect">
          <a:avLst/>
        </a:prstGeom>
        <a:gradFill flip="none" rotWithShape="1">
          <a:gsLst>
            <a:gs pos="0">
              <a:schemeClr val="accent4">
                <a:lumMod val="60000"/>
                <a:lumOff val="40000"/>
                <a:tint val="66000"/>
                <a:satMod val="160000"/>
              </a:schemeClr>
            </a:gs>
            <a:gs pos="50000">
              <a:schemeClr val="accent4">
                <a:lumMod val="60000"/>
                <a:lumOff val="40000"/>
                <a:tint val="44500"/>
                <a:satMod val="160000"/>
              </a:schemeClr>
            </a:gs>
            <a:gs pos="100000">
              <a:schemeClr val="accent4">
                <a:lumMod val="60000"/>
                <a:lumOff val="40000"/>
                <a:tint val="23500"/>
                <a:satMod val="160000"/>
              </a:schemeClr>
            </a:gs>
          </a:gsLst>
          <a:lin ang="10800000" scaled="1"/>
          <a:tileRect/>
        </a:gradFill>
        <a:ln>
          <a:solidFill>
            <a:schemeClr val="accent4">
              <a:lumMod val="40000"/>
              <a:lumOff val="60000"/>
            </a:schemeClr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3</xdr:col>
      <xdr:colOff>428626</xdr:colOff>
      <xdr:row>3</xdr:row>
      <xdr:rowOff>152400</xdr:rowOff>
    </xdr:from>
    <xdr:to>
      <xdr:col>13</xdr:col>
      <xdr:colOff>114300</xdr:colOff>
      <xdr:row>40</xdr:row>
      <xdr:rowOff>19050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D03AAE06-BB04-ED45-5118-F1E5DAEC2F28}"/>
            </a:ext>
          </a:extLst>
        </xdr:cNvPr>
        <xdr:cNvSpPr/>
      </xdr:nvSpPr>
      <xdr:spPr>
        <a:xfrm>
          <a:off x="1866901" y="723900"/>
          <a:ext cx="5781674" cy="6915150"/>
        </a:xfrm>
        <a:prstGeom prst="rect">
          <a:avLst/>
        </a:prstGeom>
        <a:gradFill flip="none" rotWithShape="1">
          <a:gsLst>
            <a:gs pos="0">
              <a:schemeClr val="bg2">
                <a:lumMod val="90000"/>
                <a:shade val="30000"/>
                <a:satMod val="115000"/>
              </a:schemeClr>
            </a:gs>
            <a:gs pos="50000">
              <a:schemeClr val="bg2">
                <a:lumMod val="90000"/>
                <a:shade val="67500"/>
                <a:satMod val="115000"/>
              </a:schemeClr>
            </a:gs>
            <a:gs pos="100000">
              <a:schemeClr val="bg2">
                <a:lumMod val="90000"/>
                <a:shade val="100000"/>
                <a:satMod val="115000"/>
              </a:schemeClr>
            </a:gs>
          </a:gsLst>
          <a:lin ang="10800000" scaled="1"/>
          <a:tileRect/>
        </a:gra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13</xdr:col>
      <xdr:colOff>123826</xdr:colOff>
      <xdr:row>3</xdr:row>
      <xdr:rowOff>152399</xdr:rowOff>
    </xdr:from>
    <xdr:to>
      <xdr:col>16</xdr:col>
      <xdr:colOff>152400</xdr:colOff>
      <xdr:row>40</xdr:row>
      <xdr:rowOff>19050</xdr:rowOff>
    </xdr:to>
    <xdr:sp macro="" textlink="">
      <xdr:nvSpPr>
        <xdr:cNvPr id="9" name="Rectangle 8">
          <a:extLst>
            <a:ext uri="{FF2B5EF4-FFF2-40B4-BE49-F238E27FC236}">
              <a16:creationId xmlns:a16="http://schemas.microsoft.com/office/drawing/2014/main" id="{ACC3D70C-DF6F-A630-E056-B8490D48B5EC}"/>
            </a:ext>
          </a:extLst>
        </xdr:cNvPr>
        <xdr:cNvSpPr/>
      </xdr:nvSpPr>
      <xdr:spPr>
        <a:xfrm>
          <a:off x="7658101" y="723899"/>
          <a:ext cx="1857374" cy="6915151"/>
        </a:xfrm>
        <a:prstGeom prst="rect">
          <a:avLst/>
        </a:prstGeom>
        <a:gradFill flip="none" rotWithShape="1">
          <a:gsLst>
            <a:gs pos="0">
              <a:schemeClr val="bg2">
                <a:lumMod val="50000"/>
                <a:shade val="30000"/>
                <a:satMod val="115000"/>
              </a:schemeClr>
            </a:gs>
            <a:gs pos="50000">
              <a:schemeClr val="bg2">
                <a:lumMod val="50000"/>
                <a:shade val="67500"/>
                <a:satMod val="115000"/>
              </a:schemeClr>
            </a:gs>
            <a:gs pos="100000">
              <a:schemeClr val="bg2">
                <a:lumMod val="50000"/>
                <a:shade val="100000"/>
                <a:satMod val="115000"/>
              </a:schemeClr>
            </a:gs>
          </a:gsLst>
          <a:lin ang="10800000" scaled="1"/>
          <a:tileRect/>
        </a:gra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16</xdr:col>
      <xdr:colOff>161926</xdr:colOff>
      <xdr:row>3</xdr:row>
      <xdr:rowOff>152400</xdr:rowOff>
    </xdr:from>
    <xdr:to>
      <xdr:col>18</xdr:col>
      <xdr:colOff>533400</xdr:colOff>
      <xdr:row>40</xdr:row>
      <xdr:rowOff>19050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6C0D01B2-6BD0-2C69-8F02-1DCB1DA1DA24}"/>
            </a:ext>
          </a:extLst>
        </xdr:cNvPr>
        <xdr:cNvSpPr/>
      </xdr:nvSpPr>
      <xdr:spPr>
        <a:xfrm>
          <a:off x="9525001" y="723900"/>
          <a:ext cx="1590674" cy="6915150"/>
        </a:xfrm>
        <a:prstGeom prst="rect">
          <a:avLst/>
        </a:prstGeom>
        <a:gradFill flip="none" rotWithShape="1">
          <a:gsLst>
            <a:gs pos="0">
              <a:schemeClr val="accent2">
                <a:lumMod val="60000"/>
                <a:lumOff val="40000"/>
                <a:shade val="30000"/>
                <a:satMod val="115000"/>
              </a:schemeClr>
            </a:gs>
            <a:gs pos="50000">
              <a:schemeClr val="accent2">
                <a:lumMod val="60000"/>
                <a:lumOff val="40000"/>
                <a:shade val="67500"/>
                <a:satMod val="115000"/>
              </a:schemeClr>
            </a:gs>
            <a:gs pos="100000">
              <a:schemeClr val="accent2">
                <a:lumMod val="60000"/>
                <a:lumOff val="40000"/>
                <a:shade val="100000"/>
                <a:satMod val="115000"/>
              </a:schemeClr>
            </a:gs>
          </a:gsLst>
          <a:lin ang="0" scaled="1"/>
          <a:tileRect/>
        </a:gra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GB" sz="1100"/>
        </a:p>
      </xdr:txBody>
    </xdr:sp>
    <xdr:clientData/>
  </xdr:twoCellAnchor>
  <xdr:twoCellAnchor>
    <xdr:from>
      <xdr:col>1</xdr:col>
      <xdr:colOff>61912</xdr:colOff>
      <xdr:row>3</xdr:row>
      <xdr:rowOff>4762</xdr:rowOff>
    </xdr:from>
    <xdr:to>
      <xdr:col>21</xdr:col>
      <xdr:colOff>57150</xdr:colOff>
      <xdr:row>44</xdr:row>
      <xdr:rowOff>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89ABBDFE-6889-2DA1-5D4A-50FC53CA07B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2</xdr:col>
      <xdr:colOff>589240</xdr:colOff>
      <xdr:row>3</xdr:row>
      <xdr:rowOff>144997</xdr:rowOff>
    </xdr:from>
    <xdr:ext cx="313099" cy="3082922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D3473D33-58AC-6AB1-5D54-500FE2C0ACF3}"/>
            </a:ext>
          </a:extLst>
        </xdr:cNvPr>
        <xdr:cNvSpPr txBox="1"/>
      </xdr:nvSpPr>
      <xdr:spPr>
        <a:xfrm rot="5400000">
          <a:off x="40412" y="2101408"/>
          <a:ext cx="3082922" cy="313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pPr algn="l"/>
          <a:r>
            <a:rPr lang="en-GB" sz="2000"/>
            <a:t>Deposit surface facing water</a:t>
          </a:r>
        </a:p>
      </xdr:txBody>
    </xdr:sp>
    <xdr:clientData/>
  </xdr:oneCellAnchor>
  <xdr:oneCellAnchor>
    <xdr:from>
      <xdr:col>1</xdr:col>
      <xdr:colOff>457563</xdr:colOff>
      <xdr:row>4</xdr:row>
      <xdr:rowOff>15404</xdr:rowOff>
    </xdr:from>
    <xdr:ext cx="313099" cy="654025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15C15B69-9D00-2568-7F89-A7CEE0F1A905}"/>
            </a:ext>
          </a:extLst>
        </xdr:cNvPr>
        <xdr:cNvSpPr txBox="1"/>
      </xdr:nvSpPr>
      <xdr:spPr>
        <a:xfrm rot="5400000">
          <a:off x="506175" y="947867"/>
          <a:ext cx="654025" cy="313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pPr algn="l"/>
          <a:r>
            <a:rPr lang="en-GB" sz="2000"/>
            <a:t>Water</a:t>
          </a:r>
        </a:p>
      </xdr:txBody>
    </xdr:sp>
    <xdr:clientData/>
  </xdr:oneCellAnchor>
  <xdr:oneCellAnchor>
    <xdr:from>
      <xdr:col>3</xdr:col>
      <xdr:colOff>454509</xdr:colOff>
      <xdr:row>3</xdr:row>
      <xdr:rowOff>153459</xdr:rowOff>
    </xdr:from>
    <xdr:ext cx="313099" cy="3794124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42A4634C-2812-4CE3-A5D2-E6ED89F0C1DC}"/>
            </a:ext>
          </a:extLst>
        </xdr:cNvPr>
        <xdr:cNvSpPr txBox="1"/>
      </xdr:nvSpPr>
      <xdr:spPr>
        <a:xfrm rot="5400000">
          <a:off x="163914" y="2465471"/>
          <a:ext cx="3794124" cy="31309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lIns="0" tIns="0" rIns="0" bIns="0" rtlCol="0" anchor="t">
          <a:spAutoFit/>
        </a:bodyPr>
        <a:lstStyle/>
        <a:p>
          <a:pPr algn="l"/>
          <a:r>
            <a:rPr lang="en-GB" sz="2000"/>
            <a:t>Deposit-carbon steel interface</a:t>
          </a:r>
        </a:p>
      </xdr:txBody>
    </xdr:sp>
    <xdr:clientData/>
  </xdr:oneCell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0.06526</cdr:x>
      <cdr:y>0.07505</cdr:y>
    </cdr:from>
    <cdr:to>
      <cdr:x>0.06527</cdr:x>
      <cdr:y>0.12317</cdr:y>
    </cdr:to>
    <cdr:sp macro="" textlink="">
      <cdr:nvSpPr>
        <cdr:cNvPr id="2" name="TextBox 1">
          <a:extLst xmlns:a="http://schemas.openxmlformats.org/drawingml/2006/main">
            <a:ext uri="{FF2B5EF4-FFF2-40B4-BE49-F238E27FC236}">
              <a16:creationId xmlns:a16="http://schemas.microsoft.com/office/drawing/2014/main" id="{34E94F0C-A3B2-F890-43B8-4116E45F7CF1}"/>
            </a:ext>
          </a:extLst>
        </cdr:cNvPr>
        <cdr:cNvSpPr txBox="1"/>
      </cdr:nvSpPr>
      <cdr:spPr>
        <a:xfrm xmlns:a="http://schemas.openxmlformats.org/drawingml/2006/main">
          <a:off x="795338" y="585788"/>
          <a:ext cx="65" cy="375680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vertOverflow="clip" horzOverflow="clip" wrap="none" lIns="0" tIns="0" rIns="0" bIns="0" rtlCol="0" anchor="t">
          <a:spAutoFit/>
        </a:bodyPr>
        <a:lstStyle xmlns:a="http://schemas.openxmlformats.org/drawingml/2006/main"/>
        <a:p xmlns:a="http://schemas.openxmlformats.org/drawingml/2006/main">
          <a:pPr algn="l"/>
          <a:endParaRPr lang="en-GB" sz="2400"/>
        </a:p>
      </cdr:txBody>
    </cdr:sp>
  </cdr:relSizeAnchor>
  <cdr:relSizeAnchor xmlns:cdr="http://schemas.openxmlformats.org/drawingml/2006/chartDrawing">
    <cdr:from>
      <cdr:x>0.5807</cdr:x>
      <cdr:y>0.02074</cdr:y>
    </cdr:from>
    <cdr:to>
      <cdr:x>0.60621</cdr:x>
      <cdr:y>0.43597</cdr:y>
    </cdr:to>
    <cdr:sp macro="" textlink="">
      <cdr:nvSpPr>
        <cdr:cNvPr id="3" name="TextBox 12">
          <a:extLst xmlns:a="http://schemas.openxmlformats.org/drawingml/2006/main">
            <a:ext uri="{FF2B5EF4-FFF2-40B4-BE49-F238E27FC236}">
              <a16:creationId xmlns:a16="http://schemas.microsoft.com/office/drawing/2014/main" id="{42A4634C-2812-4CE3-A5D2-E6ED89F0C1DC}"/>
            </a:ext>
          </a:extLst>
        </cdr:cNvPr>
        <cdr:cNvSpPr txBox="1"/>
      </cdr:nvSpPr>
      <cdr:spPr>
        <a:xfrm xmlns:a="http://schemas.openxmlformats.org/drawingml/2006/main" rot="5400000">
          <a:off x="5662225" y="1625940"/>
          <a:ext cx="3241160" cy="313099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GB" sz="2000"/>
            <a:t>Carbon</a:t>
          </a:r>
          <a:r>
            <a:rPr lang="en-GB" sz="2000" baseline="0"/>
            <a:t> </a:t>
          </a:r>
          <a:r>
            <a:rPr lang="en-GB" sz="2000"/>
            <a:t>steel-cladding interface</a:t>
          </a:r>
        </a:p>
      </cdr:txBody>
    </cdr:sp>
  </cdr:relSizeAnchor>
  <cdr:relSizeAnchor xmlns:cdr="http://schemas.openxmlformats.org/drawingml/2006/chartDrawing">
    <cdr:from>
      <cdr:x>0.75848</cdr:x>
      <cdr:y>0.02244</cdr:y>
    </cdr:from>
    <cdr:to>
      <cdr:x>0.78492</cdr:x>
      <cdr:y>0.44072</cdr:y>
    </cdr:to>
    <cdr:sp macro="" textlink="">
      <cdr:nvSpPr>
        <cdr:cNvPr id="4" name="TextBox 12">
          <a:extLst xmlns:a="http://schemas.openxmlformats.org/drawingml/2006/main">
            <a:ext uri="{FF2B5EF4-FFF2-40B4-BE49-F238E27FC236}">
              <a16:creationId xmlns:a16="http://schemas.microsoft.com/office/drawing/2014/main" id="{6C3F6B84-1967-CF67-08AE-8CD9C7BD4E54}"/>
            </a:ext>
          </a:extLst>
        </cdr:cNvPr>
        <cdr:cNvSpPr txBox="1"/>
      </cdr:nvSpPr>
      <cdr:spPr>
        <a:xfrm xmlns:a="http://schemas.openxmlformats.org/drawingml/2006/main" rot="5400000">
          <a:off x="7837694" y="1645396"/>
          <a:ext cx="3264969" cy="324486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GB" sz="2000"/>
            <a:t>Cladding surface facing furnace</a:t>
          </a:r>
        </a:p>
      </cdr:txBody>
    </cdr:sp>
  </cdr:relSizeAnchor>
  <cdr:relSizeAnchor xmlns:cdr="http://schemas.openxmlformats.org/drawingml/2006/chartDrawing">
    <cdr:from>
      <cdr:x>0.89144</cdr:x>
      <cdr:y>0.02406</cdr:y>
    </cdr:from>
    <cdr:to>
      <cdr:x>0.91696</cdr:x>
      <cdr:y>0.39936</cdr:y>
    </cdr:to>
    <cdr:sp macro="" textlink="">
      <cdr:nvSpPr>
        <cdr:cNvPr id="5" name="TextBox 12">
          <a:extLst xmlns:a="http://schemas.openxmlformats.org/drawingml/2006/main">
            <a:ext uri="{FF2B5EF4-FFF2-40B4-BE49-F238E27FC236}">
              <a16:creationId xmlns:a16="http://schemas.microsoft.com/office/drawing/2014/main" id="{85313BDD-2839-67C8-BE0F-1551DDE163F7}"/>
            </a:ext>
          </a:extLst>
        </cdr:cNvPr>
        <cdr:cNvSpPr txBox="1"/>
      </cdr:nvSpPr>
      <cdr:spPr>
        <a:xfrm xmlns:a="http://schemas.openxmlformats.org/drawingml/2006/main" rot="5400000">
          <a:off x="9631487" y="1496021"/>
          <a:ext cx="2929501" cy="313099"/>
        </a:xfrm>
        <a:prstGeom xmlns:a="http://schemas.openxmlformats.org/drawingml/2006/main" prst="rect">
          <a:avLst/>
        </a:prstGeom>
        <a:noFill xmlns:a="http://schemas.openxmlformats.org/drawingml/2006/main"/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tx1"/>
        </a:fontRef>
      </cdr:style>
      <cdr:txBody>
        <a:bodyPr xmlns:a="http://schemas.openxmlformats.org/drawingml/2006/main" wrap="square" lIns="0" tIns="0" rIns="0" bIns="0" rtlCol="0" anchor="t">
          <a:spAutoFit/>
        </a:bodyPr>
        <a:lstStyle xmlns:a="http://schemas.openxmlformats.org/drawingml/2006/main">
          <a:lvl1pPr marL="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r>
            <a:rPr lang="en-GB" sz="2000"/>
            <a:t>Smelt surface facing furnace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txDef>
      <a:spPr>
        <a:noFill/>
      </a:spPr>
      <a:bodyPr vertOverflow="clip" horzOverflow="clip" wrap="square" lIns="0" tIns="0" rIns="0" bIns="0" rtlCol="0" anchor="t">
        <a:spAutoFit/>
      </a:bodyPr>
      <a:lstStyle>
        <a:defPPr algn="l">
          <a:defRPr sz="2400"/>
        </a:def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a:style>
    </a:tx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hyperlink" Target="https://webbook,nist,gov/cgi/fluid,cgi?PLow=60&amp;PHigh=120&amp;PInc=1&amp;Digits=5&amp;ID=C7732185&amp;Action=Load&amp;Type=SatT&amp;TUnit=C&amp;PUnit=bar&amp;DUnit=kg%2Fm3&amp;HUnit=kJ%2Fkg&amp;WUnit=m%2Fs&amp;VisUnit=Pa*s&amp;STUnit=N%2Fm&amp;RefState=DE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lleima.com/en/products/tube-pipe-fittings-and-flanges/tubular-products/composite-tubes/sanicro-67-for-black-liquor-recovery-boilers/" TargetMode="External"/><Relationship Id="rId2" Type="http://schemas.openxmlformats.org/officeDocument/2006/relationships/hyperlink" Target="https://www.alleima.com/en/technical-center/material-datasheets/tube-and-pipe-seamless/alleima-3r12/" TargetMode="External"/><Relationship Id="rId1" Type="http://schemas.openxmlformats.org/officeDocument/2006/relationships/hyperlink" Target="https://www.alleima.com/en/products/tube-pipe-fittings-and-flanges/tubular-products/composite-tubes/sanicro-67-for-black-liquor-recovery-boilers/" TargetMode="External"/><Relationship Id="rId4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98B391-B990-4B16-BD95-841C703503E0}">
  <dimension ref="B1:O20"/>
  <sheetViews>
    <sheetView tabSelected="1" zoomScale="52" zoomScaleNormal="52" workbookViewId="0">
      <selection activeCell="B2" sqref="B2"/>
    </sheetView>
  </sheetViews>
  <sheetFormatPr defaultRowHeight="15"/>
  <cols>
    <col min="1" max="1" width="3.28515625" customWidth="1"/>
    <col min="2" max="2" width="60.28515625" bestFit="1" customWidth="1"/>
    <col min="3" max="3" width="7.5703125" bestFit="1" customWidth="1"/>
    <col min="4" max="4" width="10" bestFit="1" customWidth="1"/>
    <col min="5" max="5" width="9.5703125" style="2" customWidth="1"/>
    <col min="6" max="6" width="2.85546875" bestFit="1" customWidth="1"/>
    <col min="7" max="7" width="34.42578125" customWidth="1"/>
    <col min="8" max="8" width="3.42578125" customWidth="1"/>
    <col min="9" max="9" width="41.42578125" bestFit="1" customWidth="1"/>
    <col min="10" max="10" width="7.5703125" bestFit="1" customWidth="1"/>
    <col min="11" max="11" width="9.28515625" bestFit="1" customWidth="1"/>
    <col min="12" max="12" width="7.85546875" bestFit="1" customWidth="1"/>
    <col min="13" max="13" width="9.85546875" bestFit="1" customWidth="1"/>
    <col min="14" max="14" width="12" bestFit="1" customWidth="1"/>
    <col min="15" max="15" width="14.140625" bestFit="1" customWidth="1"/>
  </cols>
  <sheetData>
    <row r="1" spans="2:15">
      <c r="B1" s="329" t="s">
        <v>389</v>
      </c>
    </row>
    <row r="2" spans="2:15" ht="32.25" thickBot="1">
      <c r="B2" s="7" t="str">
        <f>'I &amp; O Exp'!B2</f>
        <v>Inputs</v>
      </c>
      <c r="I2" s="7" t="s">
        <v>23</v>
      </c>
    </row>
    <row r="3" spans="2:15">
      <c r="B3" s="42" t="s">
        <v>0</v>
      </c>
      <c r="C3" s="37" t="s">
        <v>46</v>
      </c>
      <c r="D3" s="46" t="s">
        <v>1</v>
      </c>
      <c r="E3" s="187" t="s">
        <v>49</v>
      </c>
      <c r="I3" s="42" t="str">
        <f>'I &amp; O Exp'!I3</f>
        <v>Term</v>
      </c>
      <c r="J3" s="37" t="str">
        <f>'I &amp; O Exp'!J3</f>
        <v>Symbol</v>
      </c>
      <c r="K3" s="37" t="str">
        <f>'I &amp; O Exp'!K3</f>
        <v>Unit</v>
      </c>
      <c r="L3" s="37" t="str">
        <f>'I &amp; O Exp'!L3</f>
        <v>AISI 304</v>
      </c>
      <c r="M3" s="37" t="str">
        <f>'I &amp; O Exp'!M3</f>
        <v>Sanicro 38</v>
      </c>
      <c r="N3" s="37" t="str">
        <f>'I &amp; O Exp'!N3</f>
        <v>AISI 304 max</v>
      </c>
      <c r="O3" s="68" t="str">
        <f>'I &amp; O Exp'!O3</f>
        <v>Sanicro 38 max</v>
      </c>
    </row>
    <row r="4" spans="2:15" ht="18">
      <c r="B4" s="171" t="s">
        <v>386</v>
      </c>
      <c r="C4" s="75" t="s">
        <v>114</v>
      </c>
      <c r="D4" s="176" t="s">
        <v>153</v>
      </c>
      <c r="E4" s="168">
        <v>37.9</v>
      </c>
      <c r="I4" s="45" t="s">
        <v>84</v>
      </c>
      <c r="J4" s="23" t="s">
        <v>191</v>
      </c>
      <c r="K4" s="23" t="s">
        <v>164</v>
      </c>
      <c r="L4" s="239">
        <f>'I &amp; O Exp'!L7</f>
        <v>3.5928993173710122</v>
      </c>
      <c r="M4" s="239"/>
      <c r="N4" s="239"/>
      <c r="O4" s="240"/>
    </row>
    <row r="5" spans="2:15" ht="18">
      <c r="B5" s="171" t="s">
        <v>40</v>
      </c>
      <c r="C5" s="75" t="s">
        <v>116</v>
      </c>
      <c r="D5" s="176" t="s">
        <v>153</v>
      </c>
      <c r="E5" s="168">
        <v>13.526</v>
      </c>
      <c r="I5" s="45" t="s">
        <v>119</v>
      </c>
      <c r="J5" s="23" t="s">
        <v>118</v>
      </c>
      <c r="K5" s="112" t="s">
        <v>232</v>
      </c>
      <c r="L5" s="239">
        <f>CM!E38</f>
        <v>106.82376635717715</v>
      </c>
      <c r="M5" s="239"/>
      <c r="N5" s="239"/>
      <c r="O5" s="240"/>
    </row>
    <row r="6" spans="2:15" ht="18">
      <c r="B6" s="171" t="s">
        <v>41</v>
      </c>
      <c r="C6" s="75" t="s">
        <v>117</v>
      </c>
      <c r="D6" s="176" t="s">
        <v>153</v>
      </c>
      <c r="E6" s="168">
        <v>15.028</v>
      </c>
      <c r="I6" s="45" t="s">
        <v>2</v>
      </c>
      <c r="J6" s="23" t="s">
        <v>231</v>
      </c>
      <c r="K6" s="112" t="s">
        <v>232</v>
      </c>
      <c r="L6" s="239">
        <f>'I &amp; O Exp'!L9</f>
        <v>169.85683493049461</v>
      </c>
      <c r="M6" s="239"/>
      <c r="N6" s="239">
        <f>'I &amp; O Exp'!N9</f>
        <v>170.91802617148346</v>
      </c>
      <c r="O6" s="240"/>
    </row>
    <row r="7" spans="2:15" ht="18.75" thickBot="1">
      <c r="B7" s="171" t="s">
        <v>254</v>
      </c>
      <c r="C7" s="75" t="s">
        <v>10</v>
      </c>
      <c r="D7" s="176" t="s">
        <v>156</v>
      </c>
      <c r="E7" s="168">
        <v>120</v>
      </c>
      <c r="I7" s="45" t="s">
        <v>72</v>
      </c>
      <c r="J7" s="23" t="s">
        <v>219</v>
      </c>
      <c r="K7" s="23" t="s">
        <v>154</v>
      </c>
      <c r="L7" s="241">
        <f>'I &amp; O Exp'!L10</f>
        <v>1.5900659630606861</v>
      </c>
      <c r="M7" s="241"/>
      <c r="N7" s="241">
        <f>'I &amp; O Exp'!N10</f>
        <v>1.6</v>
      </c>
      <c r="O7" s="242"/>
    </row>
    <row r="8" spans="2:15" ht="18.75" thickBot="1">
      <c r="B8" s="171" t="s">
        <v>8</v>
      </c>
      <c r="C8" s="75" t="s">
        <v>193</v>
      </c>
      <c r="D8" s="176" t="s">
        <v>151</v>
      </c>
      <c r="E8" s="168">
        <v>12.62</v>
      </c>
      <c r="F8" t="s">
        <v>14</v>
      </c>
      <c r="G8" s="6" t="s">
        <v>147</v>
      </c>
      <c r="I8" s="45" t="s">
        <v>259</v>
      </c>
      <c r="J8" s="23" t="s">
        <v>130</v>
      </c>
      <c r="K8" s="23" t="s">
        <v>166</v>
      </c>
      <c r="L8" s="237">
        <f>'I &amp; O Exp'!L32</f>
        <v>324.68</v>
      </c>
      <c r="M8" s="237"/>
      <c r="N8" s="237"/>
      <c r="O8" s="238"/>
    </row>
    <row r="9" spans="2:15" ht="18">
      <c r="B9" s="171" t="s">
        <v>180</v>
      </c>
      <c r="C9" s="75" t="s">
        <v>48</v>
      </c>
      <c r="D9" s="176" t="s">
        <v>149</v>
      </c>
      <c r="E9" s="168">
        <v>5000</v>
      </c>
      <c r="I9" s="45" t="s">
        <v>76</v>
      </c>
      <c r="J9" s="23" t="s">
        <v>129</v>
      </c>
      <c r="K9" s="23" t="s">
        <v>166</v>
      </c>
      <c r="L9" s="237">
        <f>'I &amp; O Exp'!L33</f>
        <v>337.55840087691718</v>
      </c>
      <c r="M9" s="237"/>
      <c r="N9" s="237">
        <f>'I &amp; O Exp'!N33</f>
        <v>337.63885949498882</v>
      </c>
      <c r="O9" s="238"/>
    </row>
    <row r="10" spans="2:15" ht="18">
      <c r="B10" s="171" t="s">
        <v>20</v>
      </c>
      <c r="C10" s="113" t="s">
        <v>234</v>
      </c>
      <c r="D10" s="179" t="s">
        <v>148</v>
      </c>
      <c r="E10" s="168">
        <v>63.5</v>
      </c>
      <c r="I10" s="45" t="s">
        <v>385</v>
      </c>
      <c r="J10" s="23" t="s">
        <v>131</v>
      </c>
      <c r="K10" s="23" t="s">
        <v>166</v>
      </c>
      <c r="L10" s="237">
        <f>'I &amp; O Exp'!L34</f>
        <v>394.1773458537487</v>
      </c>
      <c r="M10" s="237"/>
      <c r="N10" s="237">
        <f>'I &amp; O Exp'!N34</f>
        <v>394.61153488548331</v>
      </c>
      <c r="O10" s="238"/>
    </row>
    <row r="11" spans="2:15" ht="18">
      <c r="B11" s="171" t="s">
        <v>47</v>
      </c>
      <c r="C11" s="75" t="s">
        <v>237</v>
      </c>
      <c r="D11" s="176" t="s">
        <v>148</v>
      </c>
      <c r="E11" s="168">
        <v>6.5299999999999994</v>
      </c>
      <c r="I11" s="45" t="s">
        <v>384</v>
      </c>
      <c r="J11" s="23" t="s">
        <v>132</v>
      </c>
      <c r="K11" s="23" t="s">
        <v>166</v>
      </c>
      <c r="L11" s="47">
        <f>'I &amp; O Exp'!L35</f>
        <v>412.91980729110719</v>
      </c>
      <c r="M11" s="47">
        <f>'I &amp; O Exp'!M35</f>
        <v>412.91980729110719</v>
      </c>
      <c r="N11" s="47">
        <f>'I &amp; O Exp'!N35</f>
        <v>413.47461804082894</v>
      </c>
      <c r="O11" s="48">
        <f>'I &amp; O Exp'!O35</f>
        <v>413.47461804082894</v>
      </c>
    </row>
    <row r="12" spans="2:15" ht="18">
      <c r="B12" s="171" t="s">
        <v>99</v>
      </c>
      <c r="C12" s="75" t="s">
        <v>240</v>
      </c>
      <c r="D12" s="179" t="s">
        <v>148</v>
      </c>
      <c r="E12" s="168">
        <v>1.65</v>
      </c>
      <c r="I12" s="45" t="s">
        <v>78</v>
      </c>
      <c r="J12" s="23" t="s">
        <v>133</v>
      </c>
      <c r="K12" s="23" t="s">
        <v>166</v>
      </c>
      <c r="L12" s="47">
        <f>'I &amp; O Exp'!L36</f>
        <v>425.87000579510067</v>
      </c>
      <c r="M12" s="47">
        <f>'I &amp; O Exp'!M36</f>
        <v>428.80938366139628</v>
      </c>
      <c r="N12" s="47">
        <f>'I &amp; O Exp'!N36</f>
        <v>426.50010489904463</v>
      </c>
      <c r="O12" s="48">
        <f>'I &amp; O Exp'!O36</f>
        <v>429.45480632294795</v>
      </c>
    </row>
    <row r="13" spans="2:15" ht="18.75" thickBot="1">
      <c r="B13" s="171" t="s">
        <v>340</v>
      </c>
      <c r="C13" s="75" t="s">
        <v>240</v>
      </c>
      <c r="D13" s="179" t="s">
        <v>148</v>
      </c>
      <c r="E13" s="168">
        <v>1.65</v>
      </c>
      <c r="I13" s="137" t="s">
        <v>179</v>
      </c>
      <c r="J13" s="30" t="s">
        <v>145</v>
      </c>
      <c r="K13" s="30" t="s">
        <v>162</v>
      </c>
      <c r="L13" s="188">
        <f>'I &amp; O Exp'!L38</f>
        <v>0.47653378971000215</v>
      </c>
      <c r="M13" s="188">
        <f>'I &amp; O Exp'!M38</f>
        <v>4.9979898021111246E-2</v>
      </c>
      <c r="N13" s="188">
        <f>'I &amp; O Exp'!N38</f>
        <v>0.48212231887141499</v>
      </c>
      <c r="O13" s="189">
        <f>'I &amp; O Exp'!O38</f>
        <v>5.1044338913032838E-2</v>
      </c>
    </row>
    <row r="14" spans="2:15" ht="18.75" thickBot="1">
      <c r="B14" s="171" t="s">
        <v>13</v>
      </c>
      <c r="C14" s="75" t="s">
        <v>279</v>
      </c>
      <c r="D14" s="176" t="s">
        <v>159</v>
      </c>
      <c r="E14" s="168">
        <v>0.3</v>
      </c>
      <c r="F14" t="s">
        <v>14</v>
      </c>
      <c r="G14" s="6" t="s">
        <v>43</v>
      </c>
    </row>
    <row r="15" spans="2:15" ht="18">
      <c r="B15" s="171" t="s">
        <v>104</v>
      </c>
      <c r="C15" s="75" t="s">
        <v>281</v>
      </c>
      <c r="D15" s="176" t="s">
        <v>161</v>
      </c>
      <c r="E15" s="168">
        <v>100</v>
      </c>
    </row>
    <row r="16" spans="2:15" ht="18.75" thickBot="1">
      <c r="B16" s="172" t="s">
        <v>338</v>
      </c>
      <c r="C16" s="141" t="s">
        <v>215</v>
      </c>
      <c r="D16" s="183" t="s">
        <v>153</v>
      </c>
      <c r="E16" s="184">
        <v>1.89</v>
      </c>
      <c r="F16" s="2"/>
    </row>
    <row r="17" spans="5:5" ht="15" customHeight="1"/>
    <row r="18" spans="5:5" ht="15" customHeight="1"/>
    <row r="20" spans="5:5">
      <c r="E20" s="8"/>
    </row>
  </sheetData>
  <mergeCells count="11">
    <mergeCell ref="L9:M9"/>
    <mergeCell ref="L10:M10"/>
    <mergeCell ref="N9:O9"/>
    <mergeCell ref="N10:O10"/>
    <mergeCell ref="L4:O4"/>
    <mergeCell ref="L5:O5"/>
    <mergeCell ref="L6:M6"/>
    <mergeCell ref="N6:O6"/>
    <mergeCell ref="L8:O8"/>
    <mergeCell ref="L7:M7"/>
    <mergeCell ref="N7:O7"/>
  </mergeCell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C094C3C-B023-4E8F-86D0-476898374A99}">
          <x14:formula1>
            <xm:f>'q-Q'!$B$4:$B$6</xm:f>
          </x14:formula1>
          <xm:sqref>G8</xm:sqref>
        </x14:dataValidation>
        <x14:dataValidation type="list" allowBlank="1" showInputMessage="1" showErrorMessage="1" xr:uid="{33411D41-6CB6-4EF7-BB49-72A043C36446}">
          <x14:formula1>
            <xm:f>'k-T'!$B$4:$B$6</xm:f>
          </x14:formula1>
          <xm:sqref>G14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918EA-7BCE-4905-A61E-554E7FA71D29}">
  <dimension ref="B1:T18"/>
  <sheetViews>
    <sheetView zoomScaleNormal="100" workbookViewId="0">
      <selection activeCell="V61" sqref="V61"/>
    </sheetView>
  </sheetViews>
  <sheetFormatPr defaultRowHeight="15"/>
  <cols>
    <col min="1" max="1" width="3.28515625" customWidth="1"/>
    <col min="2" max="2" width="9.85546875" bestFit="1" customWidth="1"/>
    <col min="3" max="3" width="9.28515625" customWidth="1"/>
    <col min="4" max="4" width="9.28515625" bestFit="1" customWidth="1"/>
    <col min="5" max="5" width="6.5703125" bestFit="1" customWidth="1"/>
    <col min="6" max="6" width="9.85546875" bestFit="1" customWidth="1"/>
    <col min="7" max="7" width="6.5703125" bestFit="1" customWidth="1"/>
    <col min="8" max="8" width="9.85546875" bestFit="1" customWidth="1"/>
    <col min="9" max="9" width="7.42578125" bestFit="1" customWidth="1"/>
    <col min="10" max="10" width="10.140625" bestFit="1" customWidth="1"/>
    <col min="11" max="11" width="7.42578125" bestFit="1" customWidth="1"/>
    <col min="12" max="12" width="10.140625" bestFit="1" customWidth="1"/>
    <col min="13" max="13" width="3" customWidth="1"/>
    <col min="14" max="14" width="38.85546875" bestFit="1" customWidth="1"/>
    <col min="15" max="15" width="5.5703125" bestFit="1" customWidth="1"/>
    <col min="16" max="16" width="9" bestFit="1" customWidth="1"/>
    <col min="17" max="17" width="12.28515625" bestFit="1" customWidth="1"/>
    <col min="18" max="18" width="12" bestFit="1" customWidth="1"/>
    <col min="19" max="19" width="12.28515625" bestFit="1" customWidth="1"/>
    <col min="20" max="20" width="12" bestFit="1" customWidth="1"/>
  </cols>
  <sheetData>
    <row r="1" spans="2:20" ht="15.75" thickBot="1"/>
    <row r="2" spans="2:20" ht="42.75">
      <c r="B2" s="94" t="s">
        <v>39</v>
      </c>
      <c r="C2" s="39" t="s">
        <v>325</v>
      </c>
      <c r="D2" s="39" t="s">
        <v>325</v>
      </c>
      <c r="E2" s="39" t="s">
        <v>326</v>
      </c>
      <c r="F2" s="39" t="s">
        <v>330</v>
      </c>
      <c r="G2" s="39" t="s">
        <v>331</v>
      </c>
      <c r="H2" s="39" t="s">
        <v>327</v>
      </c>
      <c r="I2" s="133" t="s">
        <v>309</v>
      </c>
      <c r="J2" s="133" t="s">
        <v>312</v>
      </c>
      <c r="K2" s="133" t="s">
        <v>328</v>
      </c>
      <c r="L2" s="139" t="s">
        <v>329</v>
      </c>
      <c r="N2" s="94" t="str">
        <f>CM!B1</f>
        <v>Term</v>
      </c>
      <c r="O2" s="39" t="str">
        <f>CM!C1</f>
        <v>Symbol</v>
      </c>
      <c r="P2" s="39" t="str">
        <f>CM!D1</f>
        <v>Unit</v>
      </c>
      <c r="Q2" s="39" t="str">
        <f>CM!E1</f>
        <v>AISI 304</v>
      </c>
      <c r="R2" s="39" t="str">
        <f>CM!F1</f>
        <v>Sanicro 38</v>
      </c>
      <c r="S2" s="39" t="str">
        <f>CM!G1</f>
        <v>AISI 304 max</v>
      </c>
      <c r="T2" s="40" t="str">
        <f>CM!H1</f>
        <v>Sanicro 38 max</v>
      </c>
    </row>
    <row r="3" spans="2:20" ht="28.5">
      <c r="B3" s="28"/>
      <c r="C3" s="107" t="s">
        <v>153</v>
      </c>
      <c r="D3" s="107" t="s">
        <v>161</v>
      </c>
      <c r="E3" s="107" t="s">
        <v>166</v>
      </c>
      <c r="F3" s="107" t="s">
        <v>166</v>
      </c>
      <c r="G3" s="107" t="s">
        <v>166</v>
      </c>
      <c r="H3" s="107" t="s">
        <v>166</v>
      </c>
      <c r="I3" s="138" t="s">
        <v>167</v>
      </c>
      <c r="J3" s="138" t="s">
        <v>167</v>
      </c>
      <c r="K3" s="138" t="s">
        <v>167</v>
      </c>
      <c r="L3" s="142" t="s">
        <v>167</v>
      </c>
      <c r="N3" s="78" t="str">
        <f>CM!B87</f>
        <v>Average deposit thickness true</v>
      </c>
      <c r="O3" s="23" t="str">
        <f>CM!C87</f>
        <v>xdt</v>
      </c>
      <c r="P3" s="23" t="str">
        <f>CM!D87</f>
        <v>(m)</v>
      </c>
      <c r="Q3" s="323">
        <f>CM!E87</f>
        <v>9.9999999999999991E-5</v>
      </c>
      <c r="R3" s="323"/>
      <c r="S3" s="323"/>
      <c r="T3" s="324"/>
    </row>
    <row r="4" spans="2:20">
      <c r="B4" s="144">
        <v>0</v>
      </c>
      <c r="C4" s="24">
        <f t="shared" ref="C4:C12" si="0">B4*$Q$3</f>
        <v>0</v>
      </c>
      <c r="D4" s="27">
        <f t="shared" ref="D4:D12" si="1">C4*10^6</f>
        <v>0</v>
      </c>
      <c r="E4" s="27">
        <f t="shared" ref="E4:E12" si="2">$Q$5*(($Q$6/$Q$7)+($Q$8/$Q$9)+(C4/$Q$11))+$Q$12</f>
        <v>369.25106081826914</v>
      </c>
      <c r="F4" s="27">
        <f t="shared" ref="F4:F12" si="3">$Q$5*(($R$6/$R$7)+($R$8/$Q$9)+(C4/$Q$11))+$Q$12</f>
        <v>372.19043868456475</v>
      </c>
      <c r="G4" s="27">
        <f t="shared" ref="G4:G12" si="4">$S$5*(($S$6/$S$7)+($S$8/$S$9)+(C4/$Q$11))+$S$12</f>
        <v>369.52742950855014</v>
      </c>
      <c r="H4" s="27">
        <f t="shared" ref="H4:H12" si="5">$S$5*(($T$6/$T$7)+($T$8/$S$9)+(C4/$Q$11))+$S$12</f>
        <v>372.48213093245346</v>
      </c>
      <c r="I4" s="70">
        <f t="shared" ref="I4:I12" si="6">IF(
E4&lt;$Q$18,0,
($Q$15*E4^2+$Q$16*E4+$Q$17)
)</f>
        <v>0</v>
      </c>
      <c r="J4" s="70">
        <f t="shared" ref="J4:J12" si="7">IF(
F4&lt;$R$18,0,
($R$15*F4^2+$R$16*F4+$R$17)
)</f>
        <v>0</v>
      </c>
      <c r="K4" s="70">
        <f t="shared" ref="K4:K12" si="8">IF(
G4&lt;$S$18,0,
($S$15*G4^2+$S$16*G4+$S$17)
)</f>
        <v>0</v>
      </c>
      <c r="L4" s="38">
        <f t="shared" ref="L4:L12" si="9">IF(
H4&lt;$T$18,0,
($T$15*H4^2+$T$16*H4+$T$17)
)</f>
        <v>0</v>
      </c>
      <c r="N4" s="78" t="str">
        <f>CM!B24</f>
        <v>Heat flux efficiency</v>
      </c>
      <c r="O4" s="23" t="str">
        <f>CM!C20</f>
        <v>qf</v>
      </c>
      <c r="P4" s="23" t="str">
        <f>CM!D20</f>
        <v>(W/m2)</v>
      </c>
      <c r="Q4" s="325">
        <f>CM!E24</f>
        <v>106823.76635717714</v>
      </c>
      <c r="R4" s="325"/>
      <c r="S4" s="325"/>
      <c r="T4" s="326"/>
    </row>
    <row r="5" spans="2:20">
      <c r="B5" s="144">
        <v>0.25</v>
      </c>
      <c r="C5" s="24">
        <f t="shared" si="0"/>
        <v>2.4999999999999998E-5</v>
      </c>
      <c r="D5" s="27">
        <f t="shared" si="1"/>
        <v>24.999999999999996</v>
      </c>
      <c r="E5" s="27">
        <f t="shared" si="2"/>
        <v>383.40579706247701</v>
      </c>
      <c r="F5" s="27">
        <f t="shared" si="3"/>
        <v>386.34517492877262</v>
      </c>
      <c r="G5" s="27">
        <f t="shared" si="4"/>
        <v>383.77059835617376</v>
      </c>
      <c r="H5" s="27">
        <f t="shared" si="5"/>
        <v>386.72529978007708</v>
      </c>
      <c r="I5" s="70">
        <f t="shared" si="6"/>
        <v>8.2102422490266669E-2</v>
      </c>
      <c r="J5" s="70">
        <f t="shared" si="7"/>
        <v>4.2101940309227093E-3</v>
      </c>
      <c r="K5" s="70">
        <f t="shared" si="8"/>
        <v>8.5640322041140138E-2</v>
      </c>
      <c r="L5" s="38">
        <f t="shared" si="9"/>
        <v>4.4078821978446037E-3</v>
      </c>
      <c r="N5" s="158" t="str">
        <f>CM!B37</f>
        <v>Heat flux true</v>
      </c>
      <c r="O5" s="23" t="str">
        <f>CM!C37</f>
        <v>qt</v>
      </c>
      <c r="P5" s="159" t="str">
        <f>CM!D37</f>
        <v>(W/m2)</v>
      </c>
      <c r="Q5" s="325">
        <f>CM!E37</f>
        <v>169856.8349304946</v>
      </c>
      <c r="R5" s="325"/>
      <c r="S5" s="325">
        <f>CM!G37</f>
        <v>170918.02617148345</v>
      </c>
      <c r="T5" s="326"/>
    </row>
    <row r="6" spans="2:20">
      <c r="B6" s="144">
        <v>0.5</v>
      </c>
      <c r="C6" s="24">
        <f t="shared" si="0"/>
        <v>4.9999999999999996E-5</v>
      </c>
      <c r="D6" s="27">
        <f t="shared" si="1"/>
        <v>49.999999999999993</v>
      </c>
      <c r="E6" s="27">
        <f t="shared" si="2"/>
        <v>397.56053330668487</v>
      </c>
      <c r="F6" s="27">
        <f t="shared" si="3"/>
        <v>400.49991117298049</v>
      </c>
      <c r="G6" s="27">
        <f t="shared" si="4"/>
        <v>398.01376720379739</v>
      </c>
      <c r="H6" s="27">
        <f t="shared" si="5"/>
        <v>400.9684686277007</v>
      </c>
      <c r="I6" s="70">
        <f t="shared" si="6"/>
        <v>0.21747817456849639</v>
      </c>
      <c r="J6" s="70">
        <f t="shared" si="7"/>
        <v>1.4155726412919734E-2</v>
      </c>
      <c r="K6" s="70">
        <f t="shared" si="8"/>
        <v>0.22174848336166786</v>
      </c>
      <c r="L6" s="38">
        <f t="shared" si="9"/>
        <v>1.4575762797351732E-2</v>
      </c>
      <c r="N6" s="78" t="str">
        <f>CM!B52</f>
        <v>Cladding thickness true</v>
      </c>
      <c r="O6" s="23" t="str">
        <f>CM!C52</f>
        <v>xclt</v>
      </c>
      <c r="P6" s="23" t="str">
        <f>CM!D52</f>
        <v>(m)</v>
      </c>
      <c r="Q6" s="76">
        <f>CM!E52</f>
        <v>1.65E-3</v>
      </c>
      <c r="R6" s="76">
        <f>CM!F52</f>
        <v>1.65E-3</v>
      </c>
      <c r="S6" s="76">
        <f>CM!G52</f>
        <v>1.65E-3</v>
      </c>
      <c r="T6" s="146">
        <f>CM!H52</f>
        <v>1.65E-3</v>
      </c>
    </row>
    <row r="7" spans="2:20">
      <c r="B7" s="144">
        <v>0.75</v>
      </c>
      <c r="C7" s="24">
        <f t="shared" si="0"/>
        <v>7.4999999999999993E-5</v>
      </c>
      <c r="D7" s="27">
        <f t="shared" si="1"/>
        <v>75</v>
      </c>
      <c r="E7" s="27">
        <f t="shared" si="2"/>
        <v>411.7152695508928</v>
      </c>
      <c r="F7" s="27">
        <f t="shared" si="3"/>
        <v>414.65464741718836</v>
      </c>
      <c r="G7" s="27">
        <f t="shared" si="4"/>
        <v>412.25693605142101</v>
      </c>
      <c r="H7" s="27">
        <f t="shared" si="5"/>
        <v>415.21163747532432</v>
      </c>
      <c r="I7" s="70">
        <f t="shared" si="6"/>
        <v>0.34895529697507577</v>
      </c>
      <c r="J7" s="70">
        <f t="shared" si="7"/>
        <v>2.941229440964932E-2</v>
      </c>
      <c r="K7" s="70">
        <f t="shared" si="8"/>
        <v>0.35390914897176007</v>
      </c>
      <c r="L7" s="38">
        <f t="shared" si="9"/>
        <v>3.01212483690807E-2</v>
      </c>
      <c r="N7" s="78" t="str">
        <f>CM!B101</f>
        <v>Thermal conductivity cladding true</v>
      </c>
      <c r="O7" s="23" t="str">
        <f>CM!C101</f>
        <v>kclt</v>
      </c>
      <c r="P7" s="23" t="str">
        <f>CM!D101</f>
        <v>(W/mK)</v>
      </c>
      <c r="Q7" s="76">
        <f>CM!E101</f>
        <v>21.641658816958763</v>
      </c>
      <c r="R7" s="76">
        <f>CM!F101</f>
        <v>17.638215840628956</v>
      </c>
      <c r="S7" s="76">
        <f>CM!G101</f>
        <v>21.650994412164351</v>
      </c>
      <c r="T7" s="146">
        <f>CM!H101</f>
        <v>17.647773493289016</v>
      </c>
    </row>
    <row r="8" spans="2:20">
      <c r="B8" s="144">
        <v>1</v>
      </c>
      <c r="C8" s="24">
        <f t="shared" si="0"/>
        <v>9.9999999999999991E-5</v>
      </c>
      <c r="D8" s="27">
        <f t="shared" si="1"/>
        <v>99.999999999999986</v>
      </c>
      <c r="E8" s="27">
        <f t="shared" si="2"/>
        <v>425.87000579510067</v>
      </c>
      <c r="F8" s="27">
        <f t="shared" si="3"/>
        <v>428.80938366139628</v>
      </c>
      <c r="G8" s="27">
        <f t="shared" si="4"/>
        <v>426.50010489904463</v>
      </c>
      <c r="H8" s="27">
        <f t="shared" si="5"/>
        <v>429.45480632294795</v>
      </c>
      <c r="I8" s="70">
        <f t="shared" si="6"/>
        <v>0.47653378971000215</v>
      </c>
      <c r="J8" s="70">
        <f t="shared" si="7"/>
        <v>4.9979898021111246E-2</v>
      </c>
      <c r="K8" s="70">
        <f t="shared" si="8"/>
        <v>0.48212231887141499</v>
      </c>
      <c r="L8" s="38">
        <f t="shared" si="9"/>
        <v>5.1044338913032838E-2</v>
      </c>
      <c r="N8" s="78" t="str">
        <f>CM!B53</f>
        <v>Carbon steel thickness true</v>
      </c>
      <c r="O8" s="23" t="str">
        <f>CM!C53</f>
        <v>xcst</v>
      </c>
      <c r="P8" s="23" t="str">
        <f>CM!D53</f>
        <v>(m)</v>
      </c>
      <c r="Q8" s="76">
        <f>CM!E53</f>
        <v>4.8799999999999989E-3</v>
      </c>
      <c r="R8" s="76">
        <f>CM!F53</f>
        <v>4.8799999999999989E-3</v>
      </c>
      <c r="S8" s="76">
        <f>CM!G53</f>
        <v>4.8799999999999989E-3</v>
      </c>
      <c r="T8" s="146">
        <f>CM!H53</f>
        <v>4.8799999999999989E-3</v>
      </c>
    </row>
    <row r="9" spans="2:20">
      <c r="B9" s="144">
        <v>1.25</v>
      </c>
      <c r="C9" s="24">
        <f t="shared" si="0"/>
        <v>1.25E-4</v>
      </c>
      <c r="D9" s="27">
        <f t="shared" si="1"/>
        <v>125</v>
      </c>
      <c r="E9" s="27">
        <f t="shared" si="2"/>
        <v>440.02474203930853</v>
      </c>
      <c r="F9" s="27">
        <f t="shared" si="3"/>
        <v>442.96411990560415</v>
      </c>
      <c r="G9" s="27">
        <f t="shared" si="4"/>
        <v>440.74327374666825</v>
      </c>
      <c r="H9" s="27">
        <f t="shared" si="5"/>
        <v>443.69797517057157</v>
      </c>
      <c r="I9" s="70">
        <f t="shared" si="6"/>
        <v>0.60021365277327732</v>
      </c>
      <c r="J9" s="70">
        <f t="shared" si="7"/>
        <v>7.5858537247305957E-2</v>
      </c>
      <c r="K9" s="70">
        <f t="shared" si="8"/>
        <v>0.6063879930606344</v>
      </c>
      <c r="L9" s="38">
        <f t="shared" si="9"/>
        <v>7.734503442920726E-2</v>
      </c>
      <c r="N9" s="78" t="str">
        <f>CM!B95</f>
        <v>Thermal conductivity carbon steel true</v>
      </c>
      <c r="O9" s="23" t="str">
        <f>CM!C95</f>
        <v>kcst</v>
      </c>
      <c r="P9" s="23" t="str">
        <f>CM!D95</f>
        <v>(W/mK)</v>
      </c>
      <c r="Q9" s="325">
        <f>CM!E95</f>
        <v>44.225853537497578</v>
      </c>
      <c r="R9" s="325"/>
      <c r="S9" s="325">
        <f>CM!G95</f>
        <v>44.217584201258624</v>
      </c>
      <c r="T9" s="326"/>
    </row>
    <row r="10" spans="2:20">
      <c r="B10" s="144">
        <v>1.5</v>
      </c>
      <c r="C10" s="24">
        <f t="shared" si="0"/>
        <v>1.4999999999999999E-4</v>
      </c>
      <c r="D10" s="27">
        <f t="shared" si="1"/>
        <v>150</v>
      </c>
      <c r="E10" s="27">
        <f t="shared" si="2"/>
        <v>454.1794782835164</v>
      </c>
      <c r="F10" s="27">
        <f t="shared" si="3"/>
        <v>457.11885614981202</v>
      </c>
      <c r="G10" s="27">
        <f t="shared" si="4"/>
        <v>454.98644259429187</v>
      </c>
      <c r="H10" s="27">
        <f t="shared" si="5"/>
        <v>457.94114401819519</v>
      </c>
      <c r="I10" s="70">
        <f t="shared" si="6"/>
        <v>0.71999488616489948</v>
      </c>
      <c r="J10" s="70">
        <f t="shared" si="7"/>
        <v>0.10704821208823301</v>
      </c>
      <c r="K10" s="70">
        <f t="shared" si="8"/>
        <v>0.72670617153941741</v>
      </c>
      <c r="L10" s="38">
        <f t="shared" si="9"/>
        <v>0.10902333491760485</v>
      </c>
      <c r="N10" s="78" t="str">
        <f>CM!B87</f>
        <v>Average deposit thickness true</v>
      </c>
      <c r="O10" s="23" t="str">
        <f>CM!C87</f>
        <v>xdt</v>
      </c>
      <c r="P10" s="23" t="str">
        <f>CM!D87</f>
        <v>(m)</v>
      </c>
      <c r="Q10" s="325">
        <f>CM!E87</f>
        <v>9.9999999999999991E-5</v>
      </c>
      <c r="R10" s="325"/>
      <c r="S10" s="325"/>
      <c r="T10" s="326"/>
    </row>
    <row r="11" spans="2:20">
      <c r="B11" s="144">
        <v>1.75</v>
      </c>
      <c r="C11" s="24">
        <f t="shared" si="0"/>
        <v>1.7499999999999997E-4</v>
      </c>
      <c r="D11" s="27">
        <f t="shared" si="1"/>
        <v>174.99999999999997</v>
      </c>
      <c r="E11" s="27">
        <f t="shared" si="2"/>
        <v>468.33421452772427</v>
      </c>
      <c r="F11" s="27">
        <f t="shared" si="3"/>
        <v>471.27359239401994</v>
      </c>
      <c r="G11" s="27">
        <f t="shared" si="4"/>
        <v>469.22961144191549</v>
      </c>
      <c r="H11" s="27">
        <f t="shared" si="5"/>
        <v>472.18431286581881</v>
      </c>
      <c r="I11" s="70">
        <f t="shared" si="6"/>
        <v>0.8358774898848722</v>
      </c>
      <c r="J11" s="70">
        <f t="shared" si="7"/>
        <v>0.1435489225438924</v>
      </c>
      <c r="K11" s="70">
        <f t="shared" si="8"/>
        <v>0.84307685430776402</v>
      </c>
      <c r="L11" s="38">
        <f t="shared" si="9"/>
        <v>0.14607924037822428</v>
      </c>
      <c r="N11" s="78" t="str">
        <f>CM!B85</f>
        <v>Thermal conductivity deposits true</v>
      </c>
      <c r="O11" s="23" t="str">
        <f>CM!C85</f>
        <v>kdt</v>
      </c>
      <c r="P11" s="23" t="str">
        <f>CM!D85</f>
        <v>(W/mK)</v>
      </c>
      <c r="Q11" s="325">
        <f>CM!E85</f>
        <v>0.3</v>
      </c>
      <c r="R11" s="325"/>
      <c r="S11" s="325"/>
      <c r="T11" s="326"/>
    </row>
    <row r="12" spans="2:20" ht="15.75" thickBot="1">
      <c r="B12" s="145">
        <v>2</v>
      </c>
      <c r="C12" s="143">
        <f t="shared" si="0"/>
        <v>1.9999999999999998E-4</v>
      </c>
      <c r="D12" s="140">
        <f t="shared" si="1"/>
        <v>199.99999999999997</v>
      </c>
      <c r="E12" s="140">
        <f t="shared" si="2"/>
        <v>482.4889507719322</v>
      </c>
      <c r="F12" s="140">
        <f t="shared" si="3"/>
        <v>485.42832863822781</v>
      </c>
      <c r="G12" s="140">
        <f t="shared" si="4"/>
        <v>483.47278028953906</v>
      </c>
      <c r="H12" s="140">
        <f t="shared" si="5"/>
        <v>486.42748171344243</v>
      </c>
      <c r="I12" s="63">
        <f t="shared" si="6"/>
        <v>0.94786146393319015</v>
      </c>
      <c r="J12" s="63">
        <f t="shared" si="7"/>
        <v>0.18536066861428369</v>
      </c>
      <c r="K12" s="63">
        <f t="shared" si="8"/>
        <v>0.95550004136567335</v>
      </c>
      <c r="L12" s="64">
        <f t="shared" si="9"/>
        <v>0.18851275081106689</v>
      </c>
      <c r="N12" s="78" t="str">
        <f>CM!B80</f>
        <v>Temperature deposit surface facing water</v>
      </c>
      <c r="O12" s="23" t="str">
        <f>CM!C80</f>
        <v>Twd</v>
      </c>
      <c r="P12" s="23" t="str">
        <f>CM!D80</f>
        <v>(oC)</v>
      </c>
      <c r="Q12" s="325">
        <f>CM!E80</f>
        <v>337.55840087691718</v>
      </c>
      <c r="R12" s="325"/>
      <c r="S12" s="325">
        <f>CM!G80</f>
        <v>337.63885949498882</v>
      </c>
      <c r="T12" s="326"/>
    </row>
    <row r="13" spans="2:20">
      <c r="N13" s="78" t="str">
        <f>CM!B79</f>
        <v>Heat transfer coefficient</v>
      </c>
      <c r="O13" s="23" t="str">
        <f>CM!C79</f>
        <v>h</v>
      </c>
      <c r="P13" s="23" t="str">
        <f>CM!D79</f>
        <v>(W/m2K)</v>
      </c>
      <c r="Q13" s="325">
        <f>CM!E79</f>
        <v>13189.279985447611</v>
      </c>
      <c r="R13" s="325"/>
      <c r="S13" s="325"/>
      <c r="T13" s="326"/>
    </row>
    <row r="14" spans="2:20">
      <c r="N14" s="78" t="str">
        <f>CM!B71</f>
        <v>Temperature water/steam</v>
      </c>
      <c r="O14" s="23" t="str">
        <f>CM!C71</f>
        <v>Tw</v>
      </c>
      <c r="P14" s="23" t="str">
        <f>CM!D71</f>
        <v>(oC)</v>
      </c>
      <c r="Q14" s="325">
        <f>CM!E71</f>
        <v>324.68</v>
      </c>
      <c r="R14" s="325"/>
      <c r="S14" s="325"/>
      <c r="T14" s="326"/>
    </row>
    <row r="15" spans="2:20">
      <c r="N15" s="78" t="str">
        <f>CM!B107</f>
        <v>Equation parameter CR a</v>
      </c>
      <c r="O15" s="23" t="str">
        <f>CM!C107</f>
        <v>aCR</v>
      </c>
      <c r="P15" s="23"/>
      <c r="Q15" s="34">
        <f>CM!E107</f>
        <v>-9.7292289999999993E-6</v>
      </c>
      <c r="R15" s="34">
        <f>CM!F107</f>
        <v>1.3253959999999999E-5</v>
      </c>
      <c r="S15" s="34">
        <f>CM!G107</f>
        <v>-9.7292289999999993E-6</v>
      </c>
      <c r="T15" s="147">
        <f>CM!H107</f>
        <v>1.3253959999999999E-5</v>
      </c>
    </row>
    <row r="16" spans="2:20">
      <c r="N16" s="78" t="str">
        <f>CM!B108</f>
        <v>Equation parameter CR b</v>
      </c>
      <c r="O16" s="23" t="str">
        <f>CM!C108</f>
        <v>bCR</v>
      </c>
      <c r="P16" s="23"/>
      <c r="Q16" s="34">
        <f>CM!E108</f>
        <v>1.7162190000000001E-2</v>
      </c>
      <c r="R16" s="34">
        <f>CM!F108</f>
        <v>-9.7261840000000006E-3</v>
      </c>
      <c r="S16" s="34">
        <f>CM!G108</f>
        <v>1.7162190000000001E-2</v>
      </c>
      <c r="T16" s="147">
        <f>CM!H108</f>
        <v>-9.7261840000000006E-3</v>
      </c>
    </row>
    <row r="17" spans="14:20">
      <c r="N17" s="78" t="str">
        <f>CM!B109</f>
        <v>Equation parameter CR c</v>
      </c>
      <c r="O17" s="23" t="str">
        <f>CM!C109</f>
        <v>cCR</v>
      </c>
      <c r="P17" s="23"/>
      <c r="Q17" s="34">
        <f>CM!E109</f>
        <v>-5.0677839999999996</v>
      </c>
      <c r="R17" s="34">
        <f>CM!F109</f>
        <v>1.7835540000000001</v>
      </c>
      <c r="S17" s="34">
        <f>CM!G109</f>
        <v>-5.0677839999999996</v>
      </c>
      <c r="T17" s="147">
        <f>CM!H109</f>
        <v>1.7835540000000001</v>
      </c>
    </row>
    <row r="18" spans="14:20" ht="15.75" thickBot="1">
      <c r="N18" s="79" t="str">
        <f>CM!B110</f>
        <v>Temperature 0 CR</v>
      </c>
      <c r="O18" s="30" t="str">
        <f>CM!C110</f>
        <v>TnCR</v>
      </c>
      <c r="P18" s="30" t="str">
        <f>CM!D110</f>
        <v>(oC)</v>
      </c>
      <c r="Q18" s="148">
        <f>CM!E110</f>
        <v>375.01374316026352</v>
      </c>
      <c r="R18" s="148">
        <f>CM!F110</f>
        <v>374.65122663348779</v>
      </c>
      <c r="S18" s="148">
        <f>CM!G110</f>
        <v>375.01374316026352</v>
      </c>
      <c r="T18" s="149">
        <f>CM!H110</f>
        <v>374.65122663348779</v>
      </c>
    </row>
  </sheetData>
  <mergeCells count="12">
    <mergeCell ref="Q3:T3"/>
    <mergeCell ref="Q4:T4"/>
    <mergeCell ref="Q14:T14"/>
    <mergeCell ref="Q13:T13"/>
    <mergeCell ref="Q5:R5"/>
    <mergeCell ref="S5:T5"/>
    <mergeCell ref="Q9:R9"/>
    <mergeCell ref="S9:T9"/>
    <mergeCell ref="Q12:R12"/>
    <mergeCell ref="S12:T12"/>
    <mergeCell ref="Q11:T11"/>
    <mergeCell ref="Q10:T10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518D92-696E-405B-B12E-D9E189E61DE3}">
  <dimension ref="C1:S104"/>
  <sheetViews>
    <sheetView zoomScaleNormal="100" workbookViewId="0">
      <selection activeCell="S30" sqref="S30"/>
    </sheetView>
  </sheetViews>
  <sheetFormatPr defaultRowHeight="15"/>
  <cols>
    <col min="1" max="1" width="3.28515625" customWidth="1"/>
    <col min="2" max="2" width="3.140625" customWidth="1"/>
    <col min="3" max="3" width="8.5703125" bestFit="1" customWidth="1"/>
    <col min="4" max="4" width="9.85546875" bestFit="1" customWidth="1"/>
    <col min="5" max="5" width="10.5703125" bestFit="1" customWidth="1"/>
    <col min="6" max="6" width="7.5703125" bestFit="1" customWidth="1"/>
    <col min="7" max="7" width="10.5703125" customWidth="1"/>
    <col min="8" max="9" width="7.7109375" bestFit="1" customWidth="1"/>
    <col min="10" max="10" width="3.42578125" customWidth="1"/>
    <col min="11" max="11" width="38.85546875" bestFit="1" customWidth="1"/>
    <col min="12" max="12" width="5.5703125" bestFit="1" customWidth="1"/>
    <col min="13" max="13" width="9" bestFit="1" customWidth="1"/>
    <col min="14" max="14" width="9.28515625" bestFit="1" customWidth="1"/>
    <col min="15" max="15" width="9.85546875" bestFit="1" customWidth="1"/>
  </cols>
  <sheetData>
    <row r="1" spans="3:17" ht="15.75" thickBot="1"/>
    <row r="2" spans="3:17" ht="32.25" customHeight="1">
      <c r="C2" s="94" t="str">
        <f>'l-q'!B2</f>
        <v>Furnace height</v>
      </c>
      <c r="D2" s="39" t="str">
        <f>'l-q'!C2</f>
        <v>Heat flux multiplier</v>
      </c>
      <c r="E2" s="39" t="s">
        <v>332</v>
      </c>
      <c r="F2" s="39" t="s">
        <v>326</v>
      </c>
      <c r="G2" s="39" t="s">
        <v>330</v>
      </c>
      <c r="H2" s="133" t="s">
        <v>309</v>
      </c>
      <c r="I2" s="139" t="s">
        <v>312</v>
      </c>
      <c r="K2" s="42" t="str">
        <f>'T-xd, CR-xd'!N2</f>
        <v>Term</v>
      </c>
      <c r="L2" s="37" t="str">
        <f>'T-xd, CR-xd'!O2</f>
        <v>Symbol</v>
      </c>
      <c r="M2" s="37" t="str">
        <f>'T-xd, CR-xd'!P2</f>
        <v>Unit</v>
      </c>
      <c r="N2" s="37" t="str">
        <f>'T-xd, CR-xd'!Q2</f>
        <v>AISI 304</v>
      </c>
      <c r="O2" s="68" t="str">
        <f>'T-xd, CR-xd'!R2</f>
        <v>Sanicro 38</v>
      </c>
    </row>
    <row r="3" spans="3:17" ht="17.25">
      <c r="C3" s="78" t="s">
        <v>154</v>
      </c>
      <c r="D3" s="23" t="s">
        <v>154</v>
      </c>
      <c r="E3" s="112" t="s">
        <v>210</v>
      </c>
      <c r="F3" s="23" t="s">
        <v>166</v>
      </c>
      <c r="G3" s="23" t="s">
        <v>166</v>
      </c>
      <c r="H3" s="23" t="s">
        <v>167</v>
      </c>
      <c r="I3" s="86" t="s">
        <v>167</v>
      </c>
      <c r="K3" s="78" t="str">
        <f>'T-xd, CR-xd'!N4</f>
        <v>Heat flux efficiency</v>
      </c>
      <c r="L3" s="23" t="str">
        <f>'T-xd, CR-xd'!O4</f>
        <v>qf</v>
      </c>
      <c r="M3" s="23" t="str">
        <f>'T-xd, CR-xd'!P4</f>
        <v>(W/m2)</v>
      </c>
      <c r="N3" s="327">
        <f>'T-xd, CR-xd'!Q4</f>
        <v>106823.76635717714</v>
      </c>
      <c r="O3" s="328"/>
      <c r="P3" s="20"/>
      <c r="Q3" s="20"/>
    </row>
    <row r="4" spans="3:17">
      <c r="C4" s="151">
        <f>'l-q'!B3</f>
        <v>0</v>
      </c>
      <c r="D4" s="150">
        <f>'l-q'!C3</f>
        <v>1.6</v>
      </c>
      <c r="E4" s="70">
        <f t="shared" ref="E4:E35" si="0">D4*$N$3</f>
        <v>170918.02617148345</v>
      </c>
      <c r="F4" s="70">
        <f t="shared" ref="F4:F35" si="1">E4*(($N$4/$N$5)+($N$6/$N$7)+($N$8/$N$9)+(1/$N$10))+$N$11</f>
        <v>426.5021967096983</v>
      </c>
      <c r="G4" s="70">
        <f t="shared" ref="G4:G35" si="2">E4*(($O$4/$O$5)+($O$6/$N$7)+($N$8/$N$9)+(1/$N$10))+$N$11</f>
        <v>429.45993852376762</v>
      </c>
      <c r="H4" s="70">
        <f t="shared" ref="H4:H35" si="3">IF(
F4&lt;$N$15,0,
($N$12*F4^2+$N$13*F4+$N$14)
)</f>
        <v>0.4821408588721976</v>
      </c>
      <c r="I4" s="38">
        <f t="shared" ref="I4:I35" si="4">IF(
G4&lt;$O$15,0,
($O$12*G4^2+$O$13*G4+$O$14)
)</f>
        <v>5.105284726888959E-2</v>
      </c>
      <c r="K4" s="78" t="str">
        <f>'T-xd, CR-xd'!N6</f>
        <v>Cladding thickness true</v>
      </c>
      <c r="L4" s="23" t="str">
        <f>'T-xd, CR-xd'!O6</f>
        <v>xclt</v>
      </c>
      <c r="M4" s="23" t="str">
        <f>'T-xd, CR-xd'!P6</f>
        <v>(m)</v>
      </c>
      <c r="N4" s="77">
        <f>'T-xd, CR-xd'!Q6</f>
        <v>1.65E-3</v>
      </c>
      <c r="O4" s="154">
        <f>'T-xd, CR-xd'!R6</f>
        <v>1.65E-3</v>
      </c>
      <c r="P4" s="20"/>
    </row>
    <row r="5" spans="3:17">
      <c r="C5" s="151">
        <f>'l-q'!B4</f>
        <v>0.01</v>
      </c>
      <c r="D5" s="150">
        <f>'l-q'!C4</f>
        <v>1.6</v>
      </c>
      <c r="E5" s="70">
        <f t="shared" si="0"/>
        <v>170918.02617148345</v>
      </c>
      <c r="F5" s="70">
        <f t="shared" si="1"/>
        <v>426.5021967096983</v>
      </c>
      <c r="G5" s="70">
        <f t="shared" si="2"/>
        <v>429.45993852376762</v>
      </c>
      <c r="H5" s="70">
        <f t="shared" si="3"/>
        <v>0.4821408588721976</v>
      </c>
      <c r="I5" s="38">
        <f t="shared" si="4"/>
        <v>5.105284726888959E-2</v>
      </c>
      <c r="K5" s="78" t="str">
        <f>'T-xd, CR-xd'!N7</f>
        <v>Thermal conductivity cladding true</v>
      </c>
      <c r="L5" s="23" t="str">
        <f>'T-xd, CR-xd'!O7</f>
        <v>kclt</v>
      </c>
      <c r="M5" s="23" t="str">
        <f>'T-xd, CR-xd'!P7</f>
        <v>(W/mK)</v>
      </c>
      <c r="N5" s="77">
        <f>'T-xd, CR-xd'!Q7</f>
        <v>21.641658816958763</v>
      </c>
      <c r="O5" s="154">
        <f>'T-xd, CR-xd'!R7</f>
        <v>17.638215840628956</v>
      </c>
    </row>
    <row r="6" spans="3:17">
      <c r="C6" s="151">
        <f>'l-q'!B5</f>
        <v>0.02</v>
      </c>
      <c r="D6" s="150">
        <f>'l-q'!C5</f>
        <v>1.6</v>
      </c>
      <c r="E6" s="70">
        <f t="shared" si="0"/>
        <v>170918.02617148345</v>
      </c>
      <c r="F6" s="70">
        <f t="shared" si="1"/>
        <v>426.5021967096983</v>
      </c>
      <c r="G6" s="70">
        <f t="shared" si="2"/>
        <v>429.45993852376762</v>
      </c>
      <c r="H6" s="70">
        <f t="shared" si="3"/>
        <v>0.4821408588721976</v>
      </c>
      <c r="I6" s="38">
        <f t="shared" si="4"/>
        <v>5.105284726888959E-2</v>
      </c>
      <c r="K6" s="78" t="str">
        <f>'T-xd, CR-xd'!N8</f>
        <v>Carbon steel thickness true</v>
      </c>
      <c r="L6" s="23" t="str">
        <f>'T-xd, CR-xd'!O8</f>
        <v>xcst</v>
      </c>
      <c r="M6" s="23" t="str">
        <f>'T-xd, CR-xd'!P8</f>
        <v>(m)</v>
      </c>
      <c r="N6" s="77">
        <f>'T-xd, CR-xd'!Q8</f>
        <v>4.8799999999999989E-3</v>
      </c>
      <c r="O6" s="154">
        <f>'T-xd, CR-xd'!R8</f>
        <v>4.8799999999999989E-3</v>
      </c>
    </row>
    <row r="7" spans="3:17">
      <c r="C7" s="151">
        <f>'l-q'!B6</f>
        <v>0.03</v>
      </c>
      <c r="D7" s="150">
        <f>'l-q'!C6</f>
        <v>1.6</v>
      </c>
      <c r="E7" s="70">
        <f t="shared" si="0"/>
        <v>170918.02617148345</v>
      </c>
      <c r="F7" s="70">
        <f t="shared" si="1"/>
        <v>426.5021967096983</v>
      </c>
      <c r="G7" s="70">
        <f t="shared" si="2"/>
        <v>429.45993852376762</v>
      </c>
      <c r="H7" s="70">
        <f t="shared" si="3"/>
        <v>0.4821408588721976</v>
      </c>
      <c r="I7" s="38">
        <f t="shared" si="4"/>
        <v>5.105284726888959E-2</v>
      </c>
      <c r="K7" s="78" t="str">
        <f>'T-xd, CR-xd'!N9</f>
        <v>Thermal conductivity carbon steel true</v>
      </c>
      <c r="L7" s="23" t="str">
        <f>'T-xd, CR-xd'!O9</f>
        <v>kcst</v>
      </c>
      <c r="M7" s="23" t="str">
        <f>'T-xd, CR-xd'!P9</f>
        <v>(W/mK)</v>
      </c>
      <c r="N7" s="327">
        <f>'T-xd, CR-xd'!Q9</f>
        <v>44.225853537497578</v>
      </c>
      <c r="O7" s="328"/>
    </row>
    <row r="8" spans="3:17">
      <c r="C8" s="151">
        <f>'l-q'!B7</f>
        <v>0.04</v>
      </c>
      <c r="D8" s="150">
        <f>'l-q'!C7</f>
        <v>1.595</v>
      </c>
      <c r="E8" s="70">
        <f t="shared" si="0"/>
        <v>170383.90733969753</v>
      </c>
      <c r="F8" s="70">
        <f t="shared" si="1"/>
        <v>426.18400234498051</v>
      </c>
      <c r="G8" s="70">
        <f t="shared" si="2"/>
        <v>429.13250121588084</v>
      </c>
      <c r="H8" s="70">
        <f t="shared" si="3"/>
        <v>0.4793196805897022</v>
      </c>
      <c r="I8" s="38">
        <f t="shared" si="4"/>
        <v>5.0511408117697165E-2</v>
      </c>
      <c r="K8" s="78" t="str">
        <f>'T-xd, CR-xd'!N10</f>
        <v>Average deposit thickness true</v>
      </c>
      <c r="L8" s="23" t="str">
        <f>'T-xd, CR-xd'!O10</f>
        <v>xdt</v>
      </c>
      <c r="M8" s="23" t="str">
        <f>'T-xd, CR-xd'!P10</f>
        <v>(m)</v>
      </c>
      <c r="N8" s="327">
        <f>'T-xd, CR-xd'!Q10</f>
        <v>9.9999999999999991E-5</v>
      </c>
      <c r="O8" s="328"/>
      <c r="P8" s="20"/>
      <c r="Q8" s="20"/>
    </row>
    <row r="9" spans="3:17">
      <c r="C9" s="151">
        <f>'l-q'!B8</f>
        <v>0.05</v>
      </c>
      <c r="D9" s="150">
        <f>'l-q'!C8</f>
        <v>1.59</v>
      </c>
      <c r="E9" s="70">
        <f t="shared" si="0"/>
        <v>169849.78850791167</v>
      </c>
      <c r="F9" s="70">
        <f t="shared" si="1"/>
        <v>425.86580798026267</v>
      </c>
      <c r="G9" s="70">
        <f t="shared" si="2"/>
        <v>428.80506390799405</v>
      </c>
      <c r="H9" s="70">
        <f t="shared" si="3"/>
        <v>0.47649653218398935</v>
      </c>
      <c r="I9" s="38">
        <f t="shared" si="4"/>
        <v>4.9972811018200058E-2</v>
      </c>
      <c r="K9" s="78" t="str">
        <f>'T-xd, CR-xd'!N11</f>
        <v>Thermal conductivity deposits true</v>
      </c>
      <c r="L9" s="23" t="str">
        <f>'T-xd, CR-xd'!O11</f>
        <v>kdt</v>
      </c>
      <c r="M9" s="23" t="str">
        <f>'T-xd, CR-xd'!P11</f>
        <v>(W/mK)</v>
      </c>
      <c r="N9" s="327">
        <f>'T-xd, CR-xd'!Q11</f>
        <v>0.3</v>
      </c>
      <c r="O9" s="328"/>
    </row>
    <row r="10" spans="3:17">
      <c r="C10" s="151">
        <f>'l-q'!B9</f>
        <v>0.06</v>
      </c>
      <c r="D10" s="150">
        <f>'l-q'!C9</f>
        <v>1.585</v>
      </c>
      <c r="E10" s="70">
        <f t="shared" si="0"/>
        <v>169315.66967612578</v>
      </c>
      <c r="F10" s="70">
        <f t="shared" si="1"/>
        <v>425.54761361554489</v>
      </c>
      <c r="G10" s="70">
        <f t="shared" si="2"/>
        <v>428.47762660010727</v>
      </c>
      <c r="H10" s="70">
        <f t="shared" si="3"/>
        <v>0.47367141365505816</v>
      </c>
      <c r="I10" s="38">
        <f t="shared" si="4"/>
        <v>4.9437055970396937E-2</v>
      </c>
      <c r="K10" s="78" t="str">
        <f>'T-xd, CR-xd'!N13</f>
        <v>Heat transfer coefficient</v>
      </c>
      <c r="L10" s="23" t="str">
        <f>'T-xd, CR-xd'!O13</f>
        <v>h</v>
      </c>
      <c r="M10" s="23" t="str">
        <f>'T-xd, CR-xd'!P13</f>
        <v>(W/m2K)</v>
      </c>
      <c r="N10" s="327">
        <f>'T-xd, CR-xd'!Q13</f>
        <v>13189.279985447611</v>
      </c>
      <c r="O10" s="328"/>
    </row>
    <row r="11" spans="3:17">
      <c r="C11" s="151">
        <f>'l-q'!B10</f>
        <v>7.0000000000000007E-2</v>
      </c>
      <c r="D11" s="150">
        <f>'l-q'!C10</f>
        <v>1.58</v>
      </c>
      <c r="E11" s="70">
        <f t="shared" si="0"/>
        <v>168781.55084433989</v>
      </c>
      <c r="F11" s="70">
        <f t="shared" si="1"/>
        <v>425.22941925082705</v>
      </c>
      <c r="G11" s="70">
        <f t="shared" si="2"/>
        <v>428.15018929222049</v>
      </c>
      <c r="H11" s="70">
        <f t="shared" si="3"/>
        <v>0.47084432500290951</v>
      </c>
      <c r="I11" s="38">
        <f t="shared" si="4"/>
        <v>4.8904142974289577E-2</v>
      </c>
      <c r="K11" s="78" t="str">
        <f>'T-xd, CR-xd'!N14</f>
        <v>Temperature water/steam</v>
      </c>
      <c r="L11" s="23" t="str">
        <f>'T-xd, CR-xd'!O14</f>
        <v>Tw</v>
      </c>
      <c r="M11" s="23" t="str">
        <f>'T-xd, CR-xd'!P14</f>
        <v>(oC)</v>
      </c>
      <c r="N11" s="327">
        <f>'T-xd, CR-xd'!Q14</f>
        <v>324.68</v>
      </c>
      <c r="O11" s="328"/>
    </row>
    <row r="12" spans="3:17">
      <c r="C12" s="151">
        <f>'l-q'!B11</f>
        <v>0.08</v>
      </c>
      <c r="D12" s="150">
        <f>'l-q'!C11</f>
        <v>1.575</v>
      </c>
      <c r="E12" s="70">
        <f t="shared" si="0"/>
        <v>168247.432012554</v>
      </c>
      <c r="F12" s="70">
        <f t="shared" si="1"/>
        <v>424.91122488610927</v>
      </c>
      <c r="G12" s="70">
        <f t="shared" si="2"/>
        <v>427.82275198433376</v>
      </c>
      <c r="H12" s="70">
        <f t="shared" si="3"/>
        <v>0.46801526622754253</v>
      </c>
      <c r="I12" s="38">
        <f t="shared" si="4"/>
        <v>4.8374072029877535E-2</v>
      </c>
      <c r="K12" s="78" t="str">
        <f>'T-xd, CR-xd'!N15</f>
        <v>Equation parameter CR a</v>
      </c>
      <c r="L12" s="23" t="str">
        <f>'T-xd, CR-xd'!O15</f>
        <v>aCR</v>
      </c>
      <c r="M12" s="23"/>
      <c r="N12" s="35">
        <f>'T-xd, CR-xd'!Q15</f>
        <v>-9.7292289999999993E-6</v>
      </c>
      <c r="O12" s="155">
        <f>'T-xd, CR-xd'!R15</f>
        <v>1.3253959999999999E-5</v>
      </c>
    </row>
    <row r="13" spans="3:17">
      <c r="C13" s="151">
        <f>'l-q'!B12</f>
        <v>0.09</v>
      </c>
      <c r="D13" s="150">
        <f>'l-q'!C12</f>
        <v>1.57</v>
      </c>
      <c r="E13" s="70">
        <f t="shared" si="0"/>
        <v>167713.31318076811</v>
      </c>
      <c r="F13" s="70">
        <f t="shared" si="1"/>
        <v>424.59303052139143</v>
      </c>
      <c r="G13" s="70">
        <f t="shared" si="2"/>
        <v>427.49531467644698</v>
      </c>
      <c r="H13" s="70">
        <f t="shared" si="3"/>
        <v>0.4651842373289572</v>
      </c>
      <c r="I13" s="38">
        <f t="shared" si="4"/>
        <v>4.784684313716081E-2</v>
      </c>
      <c r="K13" s="78" t="str">
        <f>'T-xd, CR-xd'!N16</f>
        <v>Equation parameter CR b</v>
      </c>
      <c r="L13" s="23" t="str">
        <f>'T-xd, CR-xd'!O16</f>
        <v>bCR</v>
      </c>
      <c r="M13" s="23"/>
      <c r="N13" s="35">
        <f>'T-xd, CR-xd'!Q16</f>
        <v>1.7162190000000001E-2</v>
      </c>
      <c r="O13" s="155">
        <f>'T-xd, CR-xd'!R16</f>
        <v>-9.7261840000000006E-3</v>
      </c>
    </row>
    <row r="14" spans="3:17">
      <c r="C14" s="151">
        <f>'l-q'!B13</f>
        <v>0.1</v>
      </c>
      <c r="D14" s="150">
        <f>'l-q'!C13</f>
        <v>1.56</v>
      </c>
      <c r="E14" s="70">
        <f t="shared" si="0"/>
        <v>166645.07551719635</v>
      </c>
      <c r="F14" s="70">
        <f t="shared" si="1"/>
        <v>423.95664179195586</v>
      </c>
      <c r="G14" s="70">
        <f t="shared" si="2"/>
        <v>426.84044006067342</v>
      </c>
      <c r="H14" s="70">
        <f t="shared" si="3"/>
        <v>0.45951626916213506</v>
      </c>
      <c r="I14" s="38">
        <f t="shared" si="4"/>
        <v>4.6800911506811538E-2</v>
      </c>
      <c r="K14" s="78" t="str">
        <f>'T-xd, CR-xd'!N17</f>
        <v>Equation parameter CR c</v>
      </c>
      <c r="L14" s="23" t="str">
        <f>'T-xd, CR-xd'!O17</f>
        <v>cCR</v>
      </c>
      <c r="M14" s="23"/>
      <c r="N14" s="35">
        <f>'T-xd, CR-xd'!Q17</f>
        <v>-5.0677839999999996</v>
      </c>
      <c r="O14" s="155">
        <f>'T-xd, CR-xd'!R17</f>
        <v>1.7835540000000001</v>
      </c>
    </row>
    <row r="15" spans="3:17" ht="15.75" thickBot="1">
      <c r="C15" s="151">
        <f>'l-q'!B14</f>
        <v>0.11</v>
      </c>
      <c r="D15" s="150">
        <f>'l-q'!C14</f>
        <v>1.55</v>
      </c>
      <c r="E15" s="70">
        <f t="shared" si="0"/>
        <v>165576.83785362457</v>
      </c>
      <c r="F15" s="70">
        <f t="shared" si="1"/>
        <v>423.32025306252024</v>
      </c>
      <c r="G15" s="70">
        <f t="shared" si="2"/>
        <v>426.18556544489991</v>
      </c>
      <c r="H15" s="70">
        <f t="shared" si="3"/>
        <v>0.45384042050244044</v>
      </c>
      <c r="I15" s="38">
        <f t="shared" si="4"/>
        <v>4.5766348083243535E-2</v>
      </c>
      <c r="K15" s="79" t="str">
        <f>'T-xd, CR-xd'!N18</f>
        <v>Temperature 0 CR</v>
      </c>
      <c r="L15" s="30" t="str">
        <f>'T-xd, CR-xd'!O18</f>
        <v>TnCR</v>
      </c>
      <c r="M15" s="30" t="str">
        <f>'T-xd, CR-xd'!P18</f>
        <v>(oC)</v>
      </c>
      <c r="N15" s="156">
        <f>'T-xd, CR-xd'!Q18</f>
        <v>375.01374316026352</v>
      </c>
      <c r="O15" s="157">
        <f>'T-xd, CR-xd'!R18</f>
        <v>374.65122663348779</v>
      </c>
    </row>
    <row r="16" spans="3:17">
      <c r="C16" s="151">
        <f>'l-q'!B15</f>
        <v>0.12</v>
      </c>
      <c r="D16" s="150">
        <f>'l-q'!C15</f>
        <v>1.54</v>
      </c>
      <c r="E16" s="70">
        <f t="shared" si="0"/>
        <v>164508.60019005279</v>
      </c>
      <c r="F16" s="70">
        <f t="shared" si="1"/>
        <v>422.68386433308461</v>
      </c>
      <c r="G16" s="70">
        <f t="shared" si="2"/>
        <v>425.53069082912634</v>
      </c>
      <c r="H16" s="70">
        <f t="shared" si="3"/>
        <v>0.44815669134987424</v>
      </c>
      <c r="I16" s="38">
        <f t="shared" si="4"/>
        <v>4.4743152866455027E-2</v>
      </c>
    </row>
    <row r="17" spans="3:19">
      <c r="C17" s="151">
        <f>'l-q'!B16</f>
        <v>0.13</v>
      </c>
      <c r="D17" s="150">
        <f>'l-q'!C16</f>
        <v>1.53</v>
      </c>
      <c r="E17" s="70">
        <f t="shared" si="0"/>
        <v>163440.36252648104</v>
      </c>
      <c r="F17" s="70">
        <f t="shared" si="1"/>
        <v>422.04747560364899</v>
      </c>
      <c r="G17" s="70">
        <f t="shared" si="2"/>
        <v>424.87581621335278</v>
      </c>
      <c r="H17" s="70">
        <f t="shared" si="3"/>
        <v>0.44246508170443644</v>
      </c>
      <c r="I17" s="38">
        <f t="shared" si="4"/>
        <v>4.3731325856446901E-2</v>
      </c>
    </row>
    <row r="18" spans="3:19">
      <c r="C18" s="151">
        <f>'l-q'!B17</f>
        <v>0.14000000000000001</v>
      </c>
      <c r="D18" s="150">
        <f>'l-q'!C17</f>
        <v>1.52</v>
      </c>
      <c r="E18" s="70">
        <f t="shared" si="0"/>
        <v>162372.12486290926</v>
      </c>
      <c r="F18" s="70">
        <f t="shared" si="1"/>
        <v>421.41108687421337</v>
      </c>
      <c r="G18" s="70">
        <f t="shared" si="2"/>
        <v>424.22094159757921</v>
      </c>
      <c r="H18" s="70">
        <f t="shared" si="3"/>
        <v>0.43676559156612704</v>
      </c>
      <c r="I18" s="38">
        <f t="shared" si="4"/>
        <v>4.2730867053220045E-2</v>
      </c>
      <c r="N18" s="2"/>
      <c r="O18" s="2"/>
    </row>
    <row r="19" spans="3:19">
      <c r="C19" s="151">
        <f>'l-q'!B18</f>
        <v>0.15</v>
      </c>
      <c r="D19" s="150">
        <f>'l-q'!C18</f>
        <v>1.51</v>
      </c>
      <c r="E19" s="70">
        <f t="shared" si="0"/>
        <v>161303.88719933748</v>
      </c>
      <c r="F19" s="70">
        <f t="shared" si="1"/>
        <v>420.77469814477774</v>
      </c>
      <c r="G19" s="70">
        <f t="shared" si="2"/>
        <v>423.56606698180565</v>
      </c>
      <c r="H19" s="70">
        <f t="shared" si="3"/>
        <v>0.43105822093494695</v>
      </c>
      <c r="I19" s="38">
        <f t="shared" si="4"/>
        <v>4.1741776456772683E-2</v>
      </c>
    </row>
    <row r="20" spans="3:19">
      <c r="C20" s="151">
        <f>'l-q'!B19</f>
        <v>0.16</v>
      </c>
      <c r="D20" s="150">
        <f>'l-q'!C19</f>
        <v>1.5</v>
      </c>
      <c r="E20" s="70">
        <f t="shared" si="0"/>
        <v>160235.6495357657</v>
      </c>
      <c r="F20" s="70">
        <f t="shared" si="1"/>
        <v>420.13830941534212</v>
      </c>
      <c r="G20" s="70">
        <f t="shared" si="2"/>
        <v>422.91119236603214</v>
      </c>
      <c r="H20" s="70">
        <f t="shared" si="3"/>
        <v>0.42534296981089526</v>
      </c>
      <c r="I20" s="38">
        <f t="shared" si="4"/>
        <v>4.0764054067107036E-2</v>
      </c>
    </row>
    <row r="21" spans="3:19">
      <c r="C21" s="151">
        <f>'l-q'!B20</f>
        <v>0.17</v>
      </c>
      <c r="D21" s="150">
        <f>'l-q'!C20</f>
        <v>1.49</v>
      </c>
      <c r="E21" s="70">
        <f t="shared" si="0"/>
        <v>159167.41187219394</v>
      </c>
      <c r="F21" s="70">
        <f t="shared" si="1"/>
        <v>419.50192068590655</v>
      </c>
      <c r="G21" s="70">
        <f t="shared" si="2"/>
        <v>422.25631775025857</v>
      </c>
      <c r="H21" s="70">
        <f t="shared" si="3"/>
        <v>0.41961983819397197</v>
      </c>
      <c r="I21" s="38">
        <f t="shared" si="4"/>
        <v>3.9797699884220883E-2</v>
      </c>
    </row>
    <row r="22" spans="3:19">
      <c r="C22" s="151">
        <f>'l-q'!B21</f>
        <v>0.18</v>
      </c>
      <c r="D22" s="150">
        <f>'l-q'!C21</f>
        <v>1.48</v>
      </c>
      <c r="E22" s="70">
        <f t="shared" si="0"/>
        <v>158099.17420862216</v>
      </c>
      <c r="F22" s="70">
        <f t="shared" si="1"/>
        <v>418.86553195647093</v>
      </c>
      <c r="G22" s="70">
        <f t="shared" si="2"/>
        <v>421.60144313448507</v>
      </c>
      <c r="H22" s="70">
        <f t="shared" si="3"/>
        <v>0.4138888260841771</v>
      </c>
      <c r="I22" s="38">
        <f t="shared" si="4"/>
        <v>3.8842713908115112E-2</v>
      </c>
    </row>
    <row r="23" spans="3:19">
      <c r="C23" s="151">
        <f>'l-q'!B22</f>
        <v>0.19</v>
      </c>
      <c r="D23" s="150">
        <f>'l-q'!C22</f>
        <v>1.47</v>
      </c>
      <c r="E23" s="70">
        <f t="shared" si="0"/>
        <v>157030.93654505038</v>
      </c>
      <c r="F23" s="70">
        <f t="shared" si="1"/>
        <v>418.22914322703531</v>
      </c>
      <c r="G23" s="70">
        <f t="shared" si="2"/>
        <v>420.9465685187115</v>
      </c>
      <c r="H23" s="70">
        <f t="shared" si="3"/>
        <v>0.40814993348151152</v>
      </c>
      <c r="I23" s="38">
        <f t="shared" si="4"/>
        <v>3.7899096138789723E-2</v>
      </c>
      <c r="P23" s="20"/>
      <c r="Q23" s="20"/>
    </row>
    <row r="24" spans="3:19">
      <c r="C24" s="151">
        <f>'l-q'!B23</f>
        <v>0.2</v>
      </c>
      <c r="D24" s="150">
        <f>'l-q'!C23</f>
        <v>1.4618999999999998</v>
      </c>
      <c r="E24" s="70">
        <f t="shared" si="0"/>
        <v>156165.66403755723</v>
      </c>
      <c r="F24" s="70">
        <f t="shared" si="1"/>
        <v>417.71366835619244</v>
      </c>
      <c r="G24" s="70">
        <f t="shared" si="2"/>
        <v>420.4161200799349</v>
      </c>
      <c r="H24" s="70">
        <f t="shared" si="3"/>
        <v>0.40349565367805251</v>
      </c>
      <c r="I24" s="38">
        <f t="shared" si="4"/>
        <v>3.7143099209617336E-2</v>
      </c>
    </row>
    <row r="25" spans="3:19">
      <c r="C25" s="151">
        <f>'l-q'!B24</f>
        <v>0.21</v>
      </c>
      <c r="D25" s="150">
        <f>'l-q'!C24</f>
        <v>1.4518999999999997</v>
      </c>
      <c r="E25" s="70">
        <f t="shared" si="0"/>
        <v>155097.42637398545</v>
      </c>
      <c r="F25" s="70">
        <f t="shared" si="1"/>
        <v>417.07727962675682</v>
      </c>
      <c r="G25" s="70">
        <f t="shared" si="2"/>
        <v>419.76124546416133</v>
      </c>
      <c r="H25" s="70">
        <f t="shared" si="3"/>
        <v>0.39774249738328926</v>
      </c>
      <c r="I25" s="38">
        <f t="shared" si="4"/>
        <v>3.6220057894564395E-2</v>
      </c>
    </row>
    <row r="26" spans="3:19">
      <c r="C26" s="151">
        <f>'l-q'!B25</f>
        <v>0.22</v>
      </c>
      <c r="D26" s="150">
        <f>'l-q'!C25</f>
        <v>1.4418999999999997</v>
      </c>
      <c r="E26" s="70">
        <f t="shared" si="0"/>
        <v>154029.1887104137</v>
      </c>
      <c r="F26" s="70">
        <f t="shared" si="1"/>
        <v>416.4408908973212</v>
      </c>
      <c r="G26" s="70">
        <f t="shared" si="2"/>
        <v>419.10637084838783</v>
      </c>
      <c r="H26" s="70">
        <f t="shared" si="3"/>
        <v>0.39198146059565442</v>
      </c>
      <c r="I26" s="38">
        <f t="shared" si="4"/>
        <v>3.530838478629228E-2</v>
      </c>
    </row>
    <row r="27" spans="3:19">
      <c r="C27" s="151">
        <f>'l-q'!B26</f>
        <v>0.23</v>
      </c>
      <c r="D27" s="150">
        <f>'l-q'!C26</f>
        <v>1.4318999999999997</v>
      </c>
      <c r="E27" s="70">
        <f t="shared" si="0"/>
        <v>152960.95104684192</v>
      </c>
      <c r="F27" s="70">
        <f t="shared" si="1"/>
        <v>415.80450216788563</v>
      </c>
      <c r="G27" s="70">
        <f t="shared" si="2"/>
        <v>418.45149623261426</v>
      </c>
      <c r="H27" s="70">
        <f t="shared" si="3"/>
        <v>0.38621254331514798</v>
      </c>
      <c r="I27" s="38">
        <f t="shared" si="4"/>
        <v>3.4408079884800546E-2</v>
      </c>
    </row>
    <row r="28" spans="3:19">
      <c r="C28" s="151">
        <f>'l-q'!B27</f>
        <v>0.24</v>
      </c>
      <c r="D28" s="150">
        <f>'l-q'!C27</f>
        <v>1.4218999999999997</v>
      </c>
      <c r="E28" s="70">
        <f t="shared" si="0"/>
        <v>151892.71338327014</v>
      </c>
      <c r="F28" s="70">
        <f t="shared" si="1"/>
        <v>415.16811343844995</v>
      </c>
      <c r="G28" s="70">
        <f t="shared" si="2"/>
        <v>417.7966216168407</v>
      </c>
      <c r="H28" s="70">
        <f t="shared" si="3"/>
        <v>0.38043574554176995</v>
      </c>
      <c r="I28" s="38">
        <f t="shared" si="4"/>
        <v>3.3519143190090084E-2</v>
      </c>
      <c r="S28" s="4"/>
    </row>
    <row r="29" spans="3:19">
      <c r="C29" s="151">
        <f>'l-q'!B28</f>
        <v>0.25</v>
      </c>
      <c r="D29" s="150">
        <f>'l-q'!C28</f>
        <v>1.4118999999999997</v>
      </c>
      <c r="E29" s="70">
        <f t="shared" si="0"/>
        <v>150824.47571969838</v>
      </c>
      <c r="F29" s="70">
        <f t="shared" si="1"/>
        <v>414.53172470901438</v>
      </c>
      <c r="G29" s="70">
        <f t="shared" si="2"/>
        <v>417.14174700106719</v>
      </c>
      <c r="H29" s="70">
        <f t="shared" si="3"/>
        <v>0.37465106727552122</v>
      </c>
      <c r="I29" s="38">
        <f t="shared" si="4"/>
        <v>3.2641574702159559E-2</v>
      </c>
    </row>
    <row r="30" spans="3:19">
      <c r="C30" s="151">
        <f>'l-q'!B29</f>
        <v>0.26</v>
      </c>
      <c r="D30" s="150">
        <f>'l-q'!C29</f>
        <v>1.4018999999999997</v>
      </c>
      <c r="E30" s="70">
        <f t="shared" si="0"/>
        <v>149756.2380561266</v>
      </c>
      <c r="F30" s="70">
        <f t="shared" si="1"/>
        <v>413.89533597957876</v>
      </c>
      <c r="G30" s="70">
        <f t="shared" si="2"/>
        <v>416.48687238529362</v>
      </c>
      <c r="H30" s="70">
        <f t="shared" si="3"/>
        <v>0.36885850851640001</v>
      </c>
      <c r="I30" s="38">
        <f t="shared" si="4"/>
        <v>3.1775374421008529E-2</v>
      </c>
    </row>
    <row r="31" spans="3:19">
      <c r="C31" s="151">
        <f>'l-q'!B30</f>
        <v>0.27</v>
      </c>
      <c r="D31" s="150">
        <f>'l-q'!C30</f>
        <v>1.3918999999999997</v>
      </c>
      <c r="E31" s="70">
        <f t="shared" si="0"/>
        <v>148688.00039255482</v>
      </c>
      <c r="F31" s="70">
        <f t="shared" si="1"/>
        <v>413.25894725014314</v>
      </c>
      <c r="G31" s="70">
        <f t="shared" si="2"/>
        <v>415.83199776952006</v>
      </c>
      <c r="H31" s="70">
        <f t="shared" si="3"/>
        <v>0.36305806926440809</v>
      </c>
      <c r="I31" s="38">
        <f t="shared" si="4"/>
        <v>3.0920542346638324E-2</v>
      </c>
    </row>
    <row r="32" spans="3:19">
      <c r="C32" s="151">
        <f>'l-q'!B31</f>
        <v>0.28000000000000003</v>
      </c>
      <c r="D32" s="150">
        <f>'l-q'!C31</f>
        <v>1.3869000000000018</v>
      </c>
      <c r="E32" s="70">
        <f t="shared" si="0"/>
        <v>148153.88156076916</v>
      </c>
      <c r="F32" s="70">
        <f t="shared" si="1"/>
        <v>412.94075288542547</v>
      </c>
      <c r="G32" s="70">
        <f t="shared" si="2"/>
        <v>415.50456046163345</v>
      </c>
      <c r="H32" s="70">
        <f t="shared" si="3"/>
        <v>0.36015489445358639</v>
      </c>
      <c r="I32" s="38">
        <f t="shared" si="4"/>
        <v>3.0497389386996421E-2</v>
      </c>
    </row>
    <row r="33" spans="3:9">
      <c r="C33" s="151">
        <f>'l-q'!B32</f>
        <v>0.28999999999999998</v>
      </c>
      <c r="D33" s="150">
        <f>'l-q'!C32</f>
        <v>1.3699000000000001</v>
      </c>
      <c r="E33" s="70">
        <f t="shared" si="0"/>
        <v>146337.87753269699</v>
      </c>
      <c r="F33" s="70">
        <f t="shared" si="1"/>
        <v>411.85889204538483</v>
      </c>
      <c r="G33" s="70">
        <f t="shared" si="2"/>
        <v>414.39127361481832</v>
      </c>
      <c r="H33" s="70">
        <f t="shared" si="3"/>
        <v>0.35026936357511751</v>
      </c>
      <c r="I33" s="38">
        <f t="shared" si="4"/>
        <v>2.9079927870891975E-2</v>
      </c>
    </row>
    <row r="34" spans="3:9">
      <c r="C34" s="151">
        <f>'l-q'!B33</f>
        <v>0.3</v>
      </c>
      <c r="D34" s="150">
        <f>'l-q'!C33</f>
        <v>1.357354545454547</v>
      </c>
      <c r="E34" s="70">
        <f t="shared" si="0"/>
        <v>144997.72482748891</v>
      </c>
      <c r="F34" s="70">
        <f t="shared" si="1"/>
        <v>411.06051345754747</v>
      </c>
      <c r="G34" s="70">
        <f t="shared" si="2"/>
        <v>413.5697036423025</v>
      </c>
      <c r="H34" s="70">
        <f t="shared" si="3"/>
        <v>0.34295955400659039</v>
      </c>
      <c r="I34" s="38">
        <f t="shared" si="4"/>
        <v>2.8054955515448121E-2</v>
      </c>
    </row>
    <row r="35" spans="3:9">
      <c r="C35" s="151">
        <f>'l-q'!B34</f>
        <v>0.31</v>
      </c>
      <c r="D35" s="150">
        <f>'l-q'!C34</f>
        <v>1.339172727272729</v>
      </c>
      <c r="E35" s="70">
        <f t="shared" si="0"/>
        <v>143055.47453008569</v>
      </c>
      <c r="F35" s="70">
        <f t="shared" si="1"/>
        <v>409.90344304039183</v>
      </c>
      <c r="G35" s="70">
        <f t="shared" si="2"/>
        <v>412.37902252271419</v>
      </c>
      <c r="H35" s="70">
        <f t="shared" si="3"/>
        <v>0.33234361381807265</v>
      </c>
      <c r="I35" s="38">
        <f t="shared" si="4"/>
        <v>2.6601244150933123E-2</v>
      </c>
    </row>
    <row r="36" spans="3:9">
      <c r="C36" s="151">
        <f>'l-q'!B35</f>
        <v>0.32</v>
      </c>
      <c r="D36" s="150">
        <f>'l-q'!C35</f>
        <v>1.3209909090909107</v>
      </c>
      <c r="E36" s="70">
        <f t="shared" ref="E36:E67" si="5">D36*$N$3</f>
        <v>141113.22423268246</v>
      </c>
      <c r="F36" s="70">
        <f t="shared" ref="F36:F67" si="6">E36*(($N$4/$N$5)+($N$6/$N$7)+($N$8/$N$9)+(1/$N$10))+$N$11</f>
        <v>408.7463726232362</v>
      </c>
      <c r="G36" s="70">
        <f t="shared" ref="G36:G67" si="7">E36*(($O$4/$O$5)+($O$6/$N$7)+($N$8/$N$9)+(1/$N$10))+$N$11</f>
        <v>411.18834140312595</v>
      </c>
      <c r="H36" s="70">
        <f t="shared" ref="H36:H67" si="8">IF(
F36&lt;$N$15,0,
($N$12*F36^2+$N$13*F36+$N$14)
)</f>
        <v>0.32170162241344968</v>
      </c>
      <c r="I36" s="38">
        <f t="shared" ref="I36:I67" si="9">IF(
G36&lt;$O$15,0,
($O$12*G36^2+$O$13*G36+$O$14)
)</f>
        <v>2.5185113635278977E-2</v>
      </c>
    </row>
    <row r="37" spans="3:9">
      <c r="C37" s="151">
        <f>'l-q'!B36</f>
        <v>0.33</v>
      </c>
      <c r="D37" s="150">
        <f>'l-q'!C36</f>
        <v>1.3028090909090924</v>
      </c>
      <c r="E37" s="70">
        <f t="shared" si="5"/>
        <v>139170.97393527924</v>
      </c>
      <c r="F37" s="70">
        <f t="shared" si="6"/>
        <v>407.5893022060805</v>
      </c>
      <c r="G37" s="70">
        <f t="shared" si="7"/>
        <v>409.9976602835377</v>
      </c>
      <c r="H37" s="70">
        <f t="shared" si="8"/>
        <v>0.31103357979272328</v>
      </c>
      <c r="I37" s="38">
        <f t="shared" si="9"/>
        <v>2.3806563968485683E-2</v>
      </c>
    </row>
    <row r="38" spans="3:9">
      <c r="C38" s="151">
        <f>'l-q'!B37</f>
        <v>0.34</v>
      </c>
      <c r="D38" s="150">
        <f>'l-q'!C37</f>
        <v>1.2846272727272743</v>
      </c>
      <c r="E38" s="70">
        <f t="shared" si="5"/>
        <v>137228.72363787601</v>
      </c>
      <c r="F38" s="70">
        <f t="shared" si="6"/>
        <v>406.43223178892481</v>
      </c>
      <c r="G38" s="70">
        <f t="shared" si="7"/>
        <v>408.80697916394939</v>
      </c>
      <c r="H38" s="70">
        <f t="shared" si="8"/>
        <v>0.30033948595589255</v>
      </c>
      <c r="I38" s="38">
        <f t="shared" si="9"/>
        <v>2.2465595150553241E-2</v>
      </c>
    </row>
    <row r="39" spans="3:9">
      <c r="C39" s="151">
        <f>'l-q'!B38</f>
        <v>0.35</v>
      </c>
      <c r="D39" s="150">
        <f>'l-q'!C38</f>
        <v>1.2718999999999998</v>
      </c>
      <c r="E39" s="70">
        <f t="shared" si="5"/>
        <v>135869.1484296936</v>
      </c>
      <c r="F39" s="70">
        <f t="shared" si="6"/>
        <v>405.62228249691577</v>
      </c>
      <c r="G39" s="70">
        <f t="shared" si="7"/>
        <v>407.97350238023751</v>
      </c>
      <c r="H39" s="70">
        <f t="shared" si="8"/>
        <v>0.29283811979652974</v>
      </c>
      <c r="I39" s="38">
        <f t="shared" si="9"/>
        <v>2.154927758307279E-2</v>
      </c>
    </row>
    <row r="40" spans="3:9">
      <c r="C40" s="151">
        <f>'l-q'!B39</f>
        <v>0.36</v>
      </c>
      <c r="D40" s="150">
        <f>'l-q'!C39</f>
        <v>1.2582636363636379</v>
      </c>
      <c r="E40" s="70">
        <f t="shared" si="5"/>
        <v>134412.46070664134</v>
      </c>
      <c r="F40" s="70">
        <f t="shared" si="6"/>
        <v>404.7544796840491</v>
      </c>
      <c r="G40" s="70">
        <f t="shared" si="7"/>
        <v>407.0804915405464</v>
      </c>
      <c r="H40" s="70">
        <f t="shared" si="8"/>
        <v>0.28478677641988437</v>
      </c>
      <c r="I40" s="38">
        <f t="shared" si="9"/>
        <v>2.0587943347340598E-2</v>
      </c>
    </row>
    <row r="41" spans="3:9">
      <c r="C41" s="151">
        <f>'l-q'!B40</f>
        <v>0.37</v>
      </c>
      <c r="D41" s="150">
        <f>'l-q'!C40</f>
        <v>1.2400818181818196</v>
      </c>
      <c r="E41" s="70">
        <f t="shared" si="5"/>
        <v>132470.21040923812</v>
      </c>
      <c r="F41" s="70">
        <f t="shared" si="6"/>
        <v>403.59740926689346</v>
      </c>
      <c r="G41" s="70">
        <f t="shared" si="7"/>
        <v>405.88981042095816</v>
      </c>
      <c r="H41" s="70">
        <f t="shared" si="8"/>
        <v>0.27402885710359914</v>
      </c>
      <c r="I41" s="38">
        <f t="shared" si="9"/>
        <v>1.9339047609117532E-2</v>
      </c>
    </row>
    <row r="42" spans="3:9">
      <c r="C42" s="151">
        <f>'l-q'!B41</f>
        <v>0.38</v>
      </c>
      <c r="D42" s="150">
        <f>'l-q'!C41</f>
        <v>1.2219000000000013</v>
      </c>
      <c r="E42" s="70">
        <f t="shared" si="5"/>
        <v>130527.96011183489</v>
      </c>
      <c r="F42" s="70">
        <f t="shared" si="6"/>
        <v>402.44033884973783</v>
      </c>
      <c r="G42" s="70">
        <f t="shared" si="7"/>
        <v>404.69912930136985</v>
      </c>
      <c r="H42" s="70">
        <f t="shared" si="8"/>
        <v>0.26324488657121137</v>
      </c>
      <c r="I42" s="38">
        <f t="shared" si="9"/>
        <v>1.8127732719754874E-2</v>
      </c>
    </row>
    <row r="43" spans="3:9">
      <c r="C43" s="151">
        <f>'l-q'!B42</f>
        <v>0.39</v>
      </c>
      <c r="D43" s="150">
        <f>'l-q'!C42</f>
        <v>1.2037181818181835</v>
      </c>
      <c r="E43" s="70">
        <f t="shared" si="5"/>
        <v>128585.7098144317</v>
      </c>
      <c r="F43" s="70">
        <f t="shared" si="6"/>
        <v>401.28326843258219</v>
      </c>
      <c r="G43" s="70">
        <f t="shared" si="7"/>
        <v>403.5084481817816</v>
      </c>
      <c r="H43" s="70">
        <f t="shared" si="8"/>
        <v>0.25243486482271837</v>
      </c>
      <c r="I43" s="38">
        <f t="shared" si="9"/>
        <v>1.6953998679253512E-2</v>
      </c>
    </row>
    <row r="44" spans="3:9">
      <c r="C44" s="151">
        <f>'l-q'!B43</f>
        <v>0.4</v>
      </c>
      <c r="D44" s="150">
        <f>'l-q'!C43</f>
        <v>1.1855363636363652</v>
      </c>
      <c r="E44" s="70">
        <f t="shared" si="5"/>
        <v>126643.45951702847</v>
      </c>
      <c r="F44" s="70">
        <f t="shared" si="6"/>
        <v>400.1261980154265</v>
      </c>
      <c r="G44" s="70">
        <f t="shared" si="7"/>
        <v>402.31776706219335</v>
      </c>
      <c r="H44" s="70">
        <f t="shared" si="8"/>
        <v>0.24159879185812105</v>
      </c>
      <c r="I44" s="38">
        <f t="shared" si="9"/>
        <v>1.5817845487613003E-2</v>
      </c>
    </row>
    <row r="45" spans="3:9">
      <c r="C45" s="151">
        <f>'l-q'!B44</f>
        <v>0.41</v>
      </c>
      <c r="D45" s="150">
        <f>'l-q'!C44</f>
        <v>1.1673545454545471</v>
      </c>
      <c r="E45" s="70">
        <f t="shared" si="5"/>
        <v>124701.20921962526</v>
      </c>
      <c r="F45" s="70">
        <f t="shared" si="6"/>
        <v>398.9691275982708</v>
      </c>
      <c r="G45" s="70">
        <f t="shared" si="7"/>
        <v>401.12708594260505</v>
      </c>
      <c r="H45" s="70">
        <f t="shared" si="8"/>
        <v>0.2307366676774194</v>
      </c>
      <c r="I45" s="38">
        <f t="shared" si="9"/>
        <v>1.4719273144834233E-2</v>
      </c>
    </row>
    <row r="46" spans="3:9">
      <c r="C46" s="151">
        <f>'l-q'!B45</f>
        <v>0.42</v>
      </c>
      <c r="D46" s="150">
        <f>'l-q'!C45</f>
        <v>1.149172727272729</v>
      </c>
      <c r="E46" s="70">
        <f t="shared" si="5"/>
        <v>122758.95892222205</v>
      </c>
      <c r="F46" s="70">
        <f t="shared" si="6"/>
        <v>397.81205718111516</v>
      </c>
      <c r="G46" s="70">
        <f t="shared" si="7"/>
        <v>399.9364048230168</v>
      </c>
      <c r="H46" s="70">
        <f t="shared" si="8"/>
        <v>0.2198484922806152</v>
      </c>
      <c r="I46" s="38">
        <f t="shared" si="9"/>
        <v>1.3658281650915427E-2</v>
      </c>
    </row>
    <row r="47" spans="3:9">
      <c r="C47" s="151">
        <f>'l-q'!B46</f>
        <v>0.43</v>
      </c>
      <c r="D47" s="150">
        <f>'l-q'!C46</f>
        <v>1.1309909090909109</v>
      </c>
      <c r="E47" s="70">
        <f t="shared" si="5"/>
        <v>120816.70862481884</v>
      </c>
      <c r="F47" s="70">
        <f t="shared" si="6"/>
        <v>396.65498676395953</v>
      </c>
      <c r="G47" s="70">
        <f t="shared" si="7"/>
        <v>398.74572370342855</v>
      </c>
      <c r="H47" s="70">
        <f t="shared" si="8"/>
        <v>0.20893426566770668</v>
      </c>
      <c r="I47" s="38">
        <f t="shared" si="9"/>
        <v>1.2634871005857917E-2</v>
      </c>
    </row>
    <row r="48" spans="3:9">
      <c r="C48" s="151">
        <f>'l-q'!B47</f>
        <v>0.44</v>
      </c>
      <c r="D48" s="150">
        <f>'l-q'!C47</f>
        <v>1.1128090909090924</v>
      </c>
      <c r="E48" s="70">
        <f t="shared" si="5"/>
        <v>118874.45832741559</v>
      </c>
      <c r="F48" s="70">
        <f t="shared" si="6"/>
        <v>395.49791634680383</v>
      </c>
      <c r="G48" s="70">
        <f t="shared" si="7"/>
        <v>397.55504258384025</v>
      </c>
      <c r="H48" s="70">
        <f t="shared" si="8"/>
        <v>0.19799398783869293</v>
      </c>
      <c r="I48" s="38">
        <f t="shared" si="9"/>
        <v>1.1649041209661259E-2</v>
      </c>
    </row>
    <row r="49" spans="3:9">
      <c r="C49" s="151">
        <f>'l-q'!B48</f>
        <v>0.45</v>
      </c>
      <c r="D49" s="150">
        <f>'l-q'!C48</f>
        <v>1.0946272727272743</v>
      </c>
      <c r="E49" s="70">
        <f t="shared" si="5"/>
        <v>116932.20803001238</v>
      </c>
      <c r="F49" s="70">
        <f t="shared" si="6"/>
        <v>394.3408459296482</v>
      </c>
      <c r="G49" s="70">
        <f t="shared" si="7"/>
        <v>396.364361464252</v>
      </c>
      <c r="H49" s="70">
        <f t="shared" si="8"/>
        <v>0.18702765879357663</v>
      </c>
      <c r="I49" s="38">
        <f t="shared" si="9"/>
        <v>1.070079226232501E-2</v>
      </c>
    </row>
    <row r="50" spans="3:9">
      <c r="C50" s="151">
        <f>'l-q'!B49</f>
        <v>0.46</v>
      </c>
      <c r="D50" s="150">
        <f>'l-q'!C49</f>
        <v>1.0764454545454563</v>
      </c>
      <c r="E50" s="70">
        <f t="shared" si="5"/>
        <v>114989.95773260917</v>
      </c>
      <c r="F50" s="70">
        <f t="shared" si="6"/>
        <v>393.1837755124925</v>
      </c>
      <c r="G50" s="70">
        <f t="shared" si="7"/>
        <v>395.17368034466375</v>
      </c>
      <c r="H50" s="70">
        <f t="shared" si="8"/>
        <v>0.17603527853235512</v>
      </c>
      <c r="I50" s="38">
        <f t="shared" si="9"/>
        <v>9.790124163850944E-3</v>
      </c>
    </row>
    <row r="51" spans="3:9">
      <c r="C51" s="151">
        <f>'l-q'!B50</f>
        <v>0.47</v>
      </c>
      <c r="D51" s="150">
        <f>'l-q'!C50</f>
        <v>1.0582636363636382</v>
      </c>
      <c r="E51" s="70">
        <f t="shared" si="5"/>
        <v>113047.70743520596</v>
      </c>
      <c r="F51" s="70">
        <f t="shared" si="6"/>
        <v>392.02670509533687</v>
      </c>
      <c r="G51" s="70">
        <f t="shared" si="7"/>
        <v>393.9829992250755</v>
      </c>
      <c r="H51" s="70">
        <f t="shared" si="8"/>
        <v>0.16501684705503195</v>
      </c>
      <c r="I51" s="38">
        <f t="shared" si="9"/>
        <v>8.9170369142368422E-3</v>
      </c>
    </row>
    <row r="52" spans="3:9">
      <c r="C52" s="151">
        <f>'l-q'!B51</f>
        <v>0.48</v>
      </c>
      <c r="D52" s="150">
        <f>'l-q'!C51</f>
        <v>1.0400818181818199</v>
      </c>
      <c r="E52" s="70">
        <f t="shared" si="5"/>
        <v>111105.45713780272</v>
      </c>
      <c r="F52" s="70">
        <f t="shared" si="6"/>
        <v>390.86963467818123</v>
      </c>
      <c r="G52" s="70">
        <f t="shared" si="7"/>
        <v>392.7923181054872</v>
      </c>
      <c r="H52" s="70">
        <f t="shared" si="8"/>
        <v>0.15397236436160355</v>
      </c>
      <c r="I52" s="38">
        <f t="shared" si="9"/>
        <v>8.0815305134840365E-3</v>
      </c>
    </row>
    <row r="53" spans="3:9">
      <c r="C53" s="151">
        <f>'l-q'!B52</f>
        <v>0.49</v>
      </c>
      <c r="D53" s="150">
        <f>'l-q'!C52</f>
        <v>1.0219000000000018</v>
      </c>
      <c r="E53" s="70">
        <f t="shared" si="5"/>
        <v>109163.20684039951</v>
      </c>
      <c r="F53" s="70">
        <f t="shared" si="6"/>
        <v>389.71256426102553</v>
      </c>
      <c r="G53" s="70">
        <f t="shared" si="7"/>
        <v>391.60163698589895</v>
      </c>
      <c r="H53" s="70">
        <f t="shared" si="8"/>
        <v>0.14290183045206994</v>
      </c>
      <c r="I53" s="38">
        <f t="shared" si="9"/>
        <v>7.2836049615920828E-3</v>
      </c>
    </row>
    <row r="54" spans="3:9">
      <c r="C54" s="151">
        <f>'l-q'!B53</f>
        <v>0.5</v>
      </c>
      <c r="D54" s="150">
        <f>'l-q'!C53</f>
        <v>1.0019000000000018</v>
      </c>
      <c r="E54" s="70">
        <f t="shared" si="5"/>
        <v>107026.73151325597</v>
      </c>
      <c r="F54" s="70">
        <f t="shared" si="6"/>
        <v>388.43978680215434</v>
      </c>
      <c r="G54" s="70">
        <f t="shared" si="7"/>
        <v>390.29188775435182</v>
      </c>
      <c r="H54" s="70">
        <f t="shared" si="8"/>
        <v>0.13069415399698414</v>
      </c>
      <c r="I54" s="38">
        <f t="shared" si="9"/>
        <v>6.449292734944656E-3</v>
      </c>
    </row>
    <row r="55" spans="3:9">
      <c r="C55" s="151">
        <f>'l-q'!B54</f>
        <v>0.51</v>
      </c>
      <c r="D55" s="150">
        <f>'l-q'!C54</f>
        <v>0.98170000000000157</v>
      </c>
      <c r="E55" s="70">
        <f t="shared" si="5"/>
        <v>104868.89143284097</v>
      </c>
      <c r="F55" s="70">
        <f t="shared" si="6"/>
        <v>387.15428156869439</v>
      </c>
      <c r="G55" s="70">
        <f t="shared" si="7"/>
        <v>388.96904103048928</v>
      </c>
      <c r="H55" s="70">
        <f t="shared" si="8"/>
        <v>0.11833240440019033</v>
      </c>
      <c r="I55" s="38">
        <f t="shared" si="9"/>
        <v>5.6527945792015366E-3</v>
      </c>
    </row>
    <row r="56" spans="3:9">
      <c r="C56" s="151">
        <f>'l-q'!B55</f>
        <v>0.52</v>
      </c>
      <c r="D56" s="150">
        <f>'l-q'!C55</f>
        <v>0.9618000000000011</v>
      </c>
      <c r="E56" s="70">
        <f t="shared" si="5"/>
        <v>102743.09848233309</v>
      </c>
      <c r="F56" s="70">
        <f t="shared" si="6"/>
        <v>385.88786799711744</v>
      </c>
      <c r="G56" s="70">
        <f t="shared" si="7"/>
        <v>387.66584054509985</v>
      </c>
      <c r="H56" s="70">
        <f t="shared" si="8"/>
        <v>0.10612280237141025</v>
      </c>
      <c r="I56" s="38">
        <f t="shared" si="9"/>
        <v>4.9134841806321994E-3</v>
      </c>
    </row>
    <row r="57" spans="3:9">
      <c r="C57" s="151">
        <f>'l-q'!B56</f>
        <v>0.53</v>
      </c>
      <c r="D57" s="150">
        <f>'l-q'!C56</f>
        <v>0.94180000000000064</v>
      </c>
      <c r="E57" s="70">
        <f t="shared" si="5"/>
        <v>100606.6231551895</v>
      </c>
      <c r="F57" s="70">
        <f t="shared" si="6"/>
        <v>384.61509053824619</v>
      </c>
      <c r="G57" s="70">
        <f t="shared" si="7"/>
        <v>386.35609131355272</v>
      </c>
      <c r="H57" s="70">
        <f t="shared" si="8"/>
        <v>9.3820402392008617E-2</v>
      </c>
      <c r="I57" s="38">
        <f t="shared" si="9"/>
        <v>4.21581779948621E-3</v>
      </c>
    </row>
    <row r="58" spans="3:9">
      <c r="C58" s="151">
        <f>'l-q'!B57</f>
        <v>0.54</v>
      </c>
      <c r="D58" s="150">
        <f>'l-q'!C57</f>
        <v>0.92180000000000017</v>
      </c>
      <c r="E58" s="70">
        <f t="shared" si="5"/>
        <v>98470.147828045912</v>
      </c>
      <c r="F58" s="70">
        <f t="shared" si="6"/>
        <v>383.34231307937495</v>
      </c>
      <c r="G58" s="70">
        <f t="shared" si="7"/>
        <v>385.04634208200565</v>
      </c>
      <c r="H58" s="70">
        <f t="shared" si="8"/>
        <v>8.1486480441122389E-2</v>
      </c>
      <c r="I58" s="38">
        <f t="shared" si="9"/>
        <v>3.5636242454619715E-3</v>
      </c>
    </row>
    <row r="59" spans="3:9">
      <c r="C59" s="151">
        <f>'l-q'!B58</f>
        <v>0.55000000000000004</v>
      </c>
      <c r="D59" s="150">
        <f>'l-q'!C58</f>
        <v>0.90180000000000016</v>
      </c>
      <c r="E59" s="70">
        <f t="shared" si="5"/>
        <v>96333.672500902365</v>
      </c>
      <c r="F59" s="70">
        <f t="shared" si="6"/>
        <v>382.0695356205037</v>
      </c>
      <c r="G59" s="70">
        <f t="shared" si="7"/>
        <v>383.73659285045852</v>
      </c>
      <c r="H59" s="70">
        <f t="shared" si="8"/>
        <v>6.912103651874979E-2</v>
      </c>
      <c r="I59" s="38">
        <f t="shared" si="9"/>
        <v>2.9569035185590398E-3</v>
      </c>
    </row>
    <row r="60" spans="3:9">
      <c r="C60" s="151">
        <f>'l-q'!B59</f>
        <v>0.56000000000000005</v>
      </c>
      <c r="D60" s="150">
        <f>'l-q'!C59</f>
        <v>0.88180000000000014</v>
      </c>
      <c r="E60" s="70">
        <f t="shared" si="5"/>
        <v>94197.197173758817</v>
      </c>
      <c r="F60" s="70">
        <f t="shared" si="6"/>
        <v>380.79675816163251</v>
      </c>
      <c r="G60" s="70">
        <f t="shared" si="7"/>
        <v>382.42684361891145</v>
      </c>
      <c r="H60" s="70">
        <f t="shared" si="8"/>
        <v>5.6724070624892597E-2</v>
      </c>
      <c r="I60" s="38">
        <f t="shared" si="9"/>
        <v>2.3956556187780809E-3</v>
      </c>
    </row>
    <row r="61" spans="3:9">
      <c r="C61" s="151">
        <f>'l-q'!B60</f>
        <v>0.56999999999999995</v>
      </c>
      <c r="D61" s="150">
        <f>'l-q'!C60</f>
        <v>0.86180000000000034</v>
      </c>
      <c r="E61" s="70">
        <f t="shared" si="5"/>
        <v>92060.721846615299</v>
      </c>
      <c r="F61" s="70">
        <f t="shared" si="6"/>
        <v>379.52398070276126</v>
      </c>
      <c r="G61" s="70">
        <f t="shared" si="7"/>
        <v>381.11709438736438</v>
      </c>
      <c r="H61" s="70">
        <f t="shared" si="8"/>
        <v>4.4295582759548147E-2</v>
      </c>
      <c r="I61" s="38">
        <f t="shared" si="9"/>
        <v>1.8798805461186507E-3</v>
      </c>
    </row>
    <row r="62" spans="3:9">
      <c r="C62" s="151">
        <f>'l-q'!B61</f>
        <v>0.57999999999999996</v>
      </c>
      <c r="D62" s="150">
        <f>'l-q'!C61</f>
        <v>0.84180000000000033</v>
      </c>
      <c r="E62" s="70">
        <f t="shared" si="5"/>
        <v>89924.246519471752</v>
      </c>
      <c r="F62" s="70">
        <f t="shared" si="6"/>
        <v>378.25120324389002</v>
      </c>
      <c r="G62" s="70">
        <f t="shared" si="7"/>
        <v>379.80734515581725</v>
      </c>
      <c r="H62" s="70">
        <f t="shared" si="8"/>
        <v>3.1835572922718214E-2</v>
      </c>
      <c r="I62" s="38">
        <f t="shared" si="9"/>
        <v>1.4095783005814155E-3</v>
      </c>
    </row>
    <row r="63" spans="3:9">
      <c r="C63" s="151">
        <f>'l-q'!B62</f>
        <v>0.59</v>
      </c>
      <c r="D63" s="150">
        <f>'l-q'!C62</f>
        <v>0.8218000000000002</v>
      </c>
      <c r="E63" s="70">
        <f t="shared" si="5"/>
        <v>87787.771192328189</v>
      </c>
      <c r="F63" s="70">
        <f t="shared" si="6"/>
        <v>376.97842578501877</v>
      </c>
      <c r="G63" s="70">
        <f t="shared" si="7"/>
        <v>378.49759592427017</v>
      </c>
      <c r="H63" s="70">
        <f t="shared" si="8"/>
        <v>1.9344041114401911E-2</v>
      </c>
      <c r="I63" s="38">
        <f t="shared" si="9"/>
        <v>9.8474888216548706E-4</v>
      </c>
    </row>
    <row r="64" spans="3:9">
      <c r="C64" s="151">
        <f>'l-q'!B63</f>
        <v>0.6</v>
      </c>
      <c r="D64" s="150">
        <f>'l-q'!C63</f>
        <v>0.80816363636363653</v>
      </c>
      <c r="E64" s="70">
        <f t="shared" si="5"/>
        <v>86331.083469275778</v>
      </c>
      <c r="F64" s="70">
        <f t="shared" si="6"/>
        <v>376.11062297215204</v>
      </c>
      <c r="G64" s="70">
        <f t="shared" si="7"/>
        <v>377.60458508457896</v>
      </c>
      <c r="H64" s="70">
        <f t="shared" si="8"/>
        <v>1.0809014577560561E-2</v>
      </c>
      <c r="I64" s="38">
        <f t="shared" si="9"/>
        <v>7.211641744153674E-4</v>
      </c>
    </row>
    <row r="65" spans="3:9">
      <c r="C65" s="151">
        <f>'l-q'!B64</f>
        <v>0.61</v>
      </c>
      <c r="D65" s="150">
        <f>'l-q'!C64</f>
        <v>0.79452727272727286</v>
      </c>
      <c r="E65" s="70">
        <f t="shared" si="5"/>
        <v>84874.395746223352</v>
      </c>
      <c r="F65" s="70">
        <f t="shared" si="6"/>
        <v>375.24282015928532</v>
      </c>
      <c r="G65" s="70">
        <f t="shared" si="7"/>
        <v>376.71157424488774</v>
      </c>
      <c r="H65" s="70">
        <f t="shared" si="8"/>
        <v>2.2593342316596932E-3</v>
      </c>
      <c r="I65" s="38">
        <f t="shared" si="9"/>
        <v>4.7871869414994883E-4</v>
      </c>
    </row>
    <row r="66" spans="3:9">
      <c r="C66" s="151">
        <f>'l-q'!B65</f>
        <v>0.62</v>
      </c>
      <c r="D66" s="150">
        <f>'l-q'!C65</f>
        <v>0.78089090909090919</v>
      </c>
      <c r="E66" s="70">
        <f t="shared" si="5"/>
        <v>83417.708023170941</v>
      </c>
      <c r="F66" s="70">
        <f t="shared" si="6"/>
        <v>374.37501734641853</v>
      </c>
      <c r="G66" s="70">
        <f t="shared" si="7"/>
        <v>375.81856340519653</v>
      </c>
      <c r="H66" s="70">
        <f t="shared" si="8"/>
        <v>0</v>
      </c>
      <c r="I66" s="38">
        <f t="shared" si="9"/>
        <v>2.5741244136856523E-4</v>
      </c>
    </row>
    <row r="67" spans="3:9">
      <c r="C67" s="151">
        <f>'l-q'!B66</f>
        <v>0.63</v>
      </c>
      <c r="D67" s="150">
        <f>'l-q'!C66</f>
        <v>0.76725454545454552</v>
      </c>
      <c r="E67" s="70">
        <f t="shared" si="5"/>
        <v>81961.020300118515</v>
      </c>
      <c r="F67" s="70">
        <f t="shared" si="6"/>
        <v>373.5072145335518</v>
      </c>
      <c r="G67" s="70">
        <f t="shared" si="7"/>
        <v>374.92555256550531</v>
      </c>
      <c r="H67" s="70">
        <f t="shared" si="8"/>
        <v>0</v>
      </c>
      <c r="I67" s="38">
        <f t="shared" si="9"/>
        <v>5.7245416071216582E-5</v>
      </c>
    </row>
    <row r="68" spans="3:9">
      <c r="C68" s="151">
        <f>'l-q'!B67</f>
        <v>0.64</v>
      </c>
      <c r="D68" s="150">
        <f>'l-q'!C67</f>
        <v>0.75361818181818185</v>
      </c>
      <c r="E68" s="70">
        <f t="shared" ref="E68:E99" si="10">D68*$N$3</f>
        <v>80504.332577066103</v>
      </c>
      <c r="F68" s="70">
        <f t="shared" ref="F68:F99" si="11">E68*(($N$4/$N$5)+($N$6/$N$7)+($N$8/$N$9)+(1/$N$10))+$N$11</f>
        <v>372.63941172068508</v>
      </c>
      <c r="G68" s="70">
        <f t="shared" ref="G68:G104" si="12">E68*(($O$4/$O$5)+($O$6/$N$7)+($N$8/$N$9)+(1/$N$10))+$N$11</f>
        <v>374.03254172581416</v>
      </c>
      <c r="H68" s="70">
        <f t="shared" ref="H68:H104" si="13">IF(
F68&lt;$N$15,0,
($N$12*F68^2+$N$13*F68+$N$14)
)</f>
        <v>0</v>
      </c>
      <c r="I68" s="38">
        <f t="shared" ref="I68:I104" si="14">IF(
G68&lt;$O$15,0,
($O$12*G68^2+$O$13*G68+$O$14)
)</f>
        <v>0</v>
      </c>
    </row>
    <row r="69" spans="3:9">
      <c r="C69" s="151">
        <f>'l-q'!B68</f>
        <v>0.65</v>
      </c>
      <c r="D69" s="150">
        <f>'l-q'!C68</f>
        <v>0.73998181818181819</v>
      </c>
      <c r="E69" s="70">
        <f t="shared" si="10"/>
        <v>79047.644854013677</v>
      </c>
      <c r="F69" s="70">
        <f t="shared" si="11"/>
        <v>371.77160890781829</v>
      </c>
      <c r="G69" s="70">
        <f t="shared" si="12"/>
        <v>373.13953088612294</v>
      </c>
      <c r="H69" s="70">
        <f t="shared" si="13"/>
        <v>0</v>
      </c>
      <c r="I69" s="38">
        <f t="shared" si="14"/>
        <v>0</v>
      </c>
    </row>
    <row r="70" spans="3:9">
      <c r="C70" s="151">
        <f>'l-q'!B69</f>
        <v>0.66</v>
      </c>
      <c r="D70" s="150">
        <f>'l-q'!C69</f>
        <v>0.72634545454545452</v>
      </c>
      <c r="E70" s="70">
        <f t="shared" si="10"/>
        <v>77590.957130961266</v>
      </c>
      <c r="F70" s="70">
        <f t="shared" si="11"/>
        <v>370.90380609495156</v>
      </c>
      <c r="G70" s="70">
        <f t="shared" si="12"/>
        <v>372.24652004643173</v>
      </c>
      <c r="H70" s="70">
        <f t="shared" si="13"/>
        <v>0</v>
      </c>
      <c r="I70" s="38">
        <f t="shared" si="14"/>
        <v>0</v>
      </c>
    </row>
    <row r="71" spans="3:9">
      <c r="C71" s="151">
        <f>'l-q'!B70</f>
        <v>0.67</v>
      </c>
      <c r="D71" s="150">
        <f>'l-q'!C70</f>
        <v>0.71270909090909096</v>
      </c>
      <c r="E71" s="70">
        <f t="shared" si="10"/>
        <v>76134.269407908854</v>
      </c>
      <c r="F71" s="70">
        <f t="shared" si="11"/>
        <v>370.03600328208483</v>
      </c>
      <c r="G71" s="70">
        <f t="shared" si="12"/>
        <v>371.35350920674051</v>
      </c>
      <c r="H71" s="70">
        <f t="shared" si="13"/>
        <v>0</v>
      </c>
      <c r="I71" s="38">
        <f t="shared" si="14"/>
        <v>0</v>
      </c>
    </row>
    <row r="72" spans="3:9">
      <c r="C72" s="151">
        <f>'l-q'!B71</f>
        <v>0.68</v>
      </c>
      <c r="D72" s="150">
        <f>'l-q'!C71</f>
        <v>0.69907272727272729</v>
      </c>
      <c r="E72" s="70">
        <f t="shared" si="10"/>
        <v>74677.581684856443</v>
      </c>
      <c r="F72" s="70">
        <f t="shared" si="11"/>
        <v>369.16820046921805</v>
      </c>
      <c r="G72" s="70">
        <f t="shared" si="12"/>
        <v>370.46049836704935</v>
      </c>
      <c r="H72" s="70">
        <f t="shared" si="13"/>
        <v>0</v>
      </c>
      <c r="I72" s="38">
        <f t="shared" si="14"/>
        <v>0</v>
      </c>
    </row>
    <row r="73" spans="3:9">
      <c r="C73" s="151">
        <f>'l-q'!B72</f>
        <v>0.69</v>
      </c>
      <c r="D73" s="150">
        <f>'l-q'!C72</f>
        <v>0.68543636363636373</v>
      </c>
      <c r="E73" s="70">
        <f t="shared" si="10"/>
        <v>73220.893961804031</v>
      </c>
      <c r="F73" s="70">
        <f t="shared" si="11"/>
        <v>368.30039765635132</v>
      </c>
      <c r="G73" s="70">
        <f t="shared" si="12"/>
        <v>369.56748752735814</v>
      </c>
      <c r="H73" s="70">
        <f t="shared" si="13"/>
        <v>0</v>
      </c>
      <c r="I73" s="38">
        <f t="shared" si="14"/>
        <v>0</v>
      </c>
    </row>
    <row r="74" spans="3:9">
      <c r="C74" s="151">
        <f>'l-q'!B73</f>
        <v>0.7</v>
      </c>
      <c r="D74" s="150">
        <f>'l-q'!C73</f>
        <v>0.67179999999999995</v>
      </c>
      <c r="E74" s="70">
        <f t="shared" si="10"/>
        <v>71764.206238751605</v>
      </c>
      <c r="F74" s="70">
        <f t="shared" si="11"/>
        <v>367.43259484348459</v>
      </c>
      <c r="G74" s="70">
        <f t="shared" si="12"/>
        <v>368.67447668766692</v>
      </c>
      <c r="H74" s="70">
        <f t="shared" si="13"/>
        <v>0</v>
      </c>
      <c r="I74" s="38">
        <f t="shared" si="14"/>
        <v>0</v>
      </c>
    </row>
    <row r="75" spans="3:9">
      <c r="C75" s="151">
        <f>'l-q'!B74</f>
        <v>0.71</v>
      </c>
      <c r="D75" s="150">
        <f>'l-q'!C74</f>
        <v>0.65680000000000005</v>
      </c>
      <c r="E75" s="70">
        <f t="shared" si="10"/>
        <v>70161.849743393948</v>
      </c>
      <c r="F75" s="70">
        <f t="shared" si="11"/>
        <v>366.47801174933113</v>
      </c>
      <c r="G75" s="70">
        <f t="shared" si="12"/>
        <v>367.69216476400663</v>
      </c>
      <c r="H75" s="70">
        <f t="shared" si="13"/>
        <v>0</v>
      </c>
      <c r="I75" s="38">
        <f t="shared" si="14"/>
        <v>0</v>
      </c>
    </row>
    <row r="76" spans="3:9">
      <c r="C76" s="151">
        <f>'l-q'!B75</f>
        <v>0.72</v>
      </c>
      <c r="D76" s="150">
        <f>'l-q'!C75</f>
        <v>0.64179999999999993</v>
      </c>
      <c r="E76" s="70">
        <f t="shared" si="10"/>
        <v>68559.493248036277</v>
      </c>
      <c r="F76" s="70">
        <f t="shared" si="11"/>
        <v>365.52342865517772</v>
      </c>
      <c r="G76" s="70">
        <f t="shared" si="12"/>
        <v>366.70985284034629</v>
      </c>
      <c r="H76" s="70">
        <f t="shared" si="13"/>
        <v>0</v>
      </c>
      <c r="I76" s="38">
        <f t="shared" si="14"/>
        <v>0</v>
      </c>
    </row>
    <row r="77" spans="3:9">
      <c r="C77" s="151">
        <f>'l-q'!B76</f>
        <v>0.73</v>
      </c>
      <c r="D77" s="150">
        <f>'l-q'!C76</f>
        <v>0.62680000000000002</v>
      </c>
      <c r="E77" s="70">
        <f t="shared" si="10"/>
        <v>66957.136752678634</v>
      </c>
      <c r="F77" s="70">
        <f t="shared" si="11"/>
        <v>364.56884556102432</v>
      </c>
      <c r="G77" s="70">
        <f t="shared" si="12"/>
        <v>365.72754091668594</v>
      </c>
      <c r="H77" s="70">
        <f t="shared" si="13"/>
        <v>0</v>
      </c>
      <c r="I77" s="38">
        <f t="shared" si="14"/>
        <v>0</v>
      </c>
    </row>
    <row r="78" spans="3:9">
      <c r="C78" s="151">
        <f>'l-q'!B77</f>
        <v>0.74</v>
      </c>
      <c r="D78" s="150">
        <f>'l-q'!C77</f>
        <v>0.6117999999999999</v>
      </c>
      <c r="E78" s="70">
        <f t="shared" si="10"/>
        <v>65354.780257320963</v>
      </c>
      <c r="F78" s="70">
        <f t="shared" si="11"/>
        <v>363.61426246687085</v>
      </c>
      <c r="G78" s="70">
        <f t="shared" si="12"/>
        <v>364.74522899302565</v>
      </c>
      <c r="H78" s="70">
        <f t="shared" si="13"/>
        <v>0</v>
      </c>
      <c r="I78" s="38">
        <f t="shared" si="14"/>
        <v>0</v>
      </c>
    </row>
    <row r="79" spans="3:9">
      <c r="C79" s="151">
        <f>'l-q'!B78</f>
        <v>0.75</v>
      </c>
      <c r="D79" s="150">
        <f>'l-q'!C78</f>
        <v>0.5968</v>
      </c>
      <c r="E79" s="70">
        <f t="shared" si="10"/>
        <v>63752.42376196332</v>
      </c>
      <c r="F79" s="70">
        <f t="shared" si="11"/>
        <v>362.65967937271745</v>
      </c>
      <c r="G79" s="70">
        <f t="shared" si="12"/>
        <v>363.7629170693653</v>
      </c>
      <c r="H79" s="70">
        <f t="shared" si="13"/>
        <v>0</v>
      </c>
      <c r="I79" s="38">
        <f t="shared" si="14"/>
        <v>0</v>
      </c>
    </row>
    <row r="80" spans="3:9">
      <c r="C80" s="151">
        <f>'l-q'!B79</f>
        <v>0.76</v>
      </c>
      <c r="D80" s="150">
        <f>'l-q'!C79</f>
        <v>0.58180000000000009</v>
      </c>
      <c r="E80" s="70">
        <f t="shared" si="10"/>
        <v>62150.067266605671</v>
      </c>
      <c r="F80" s="70">
        <f t="shared" si="11"/>
        <v>361.70509627856404</v>
      </c>
      <c r="G80" s="70">
        <f t="shared" si="12"/>
        <v>362.78060514570501</v>
      </c>
      <c r="H80" s="70">
        <f t="shared" si="13"/>
        <v>0</v>
      </c>
      <c r="I80" s="38">
        <f t="shared" si="14"/>
        <v>0</v>
      </c>
    </row>
    <row r="81" spans="3:9">
      <c r="C81" s="151">
        <f>'l-q'!B80</f>
        <v>0.77</v>
      </c>
      <c r="D81" s="150">
        <f>'l-q'!C80</f>
        <v>0.56679999999999997</v>
      </c>
      <c r="E81" s="70">
        <f t="shared" si="10"/>
        <v>60547.710771247999</v>
      </c>
      <c r="F81" s="70">
        <f t="shared" si="11"/>
        <v>360.75051318441064</v>
      </c>
      <c r="G81" s="70">
        <f t="shared" si="12"/>
        <v>361.79829322204466</v>
      </c>
      <c r="H81" s="70">
        <f t="shared" si="13"/>
        <v>0</v>
      </c>
      <c r="I81" s="38">
        <f t="shared" si="14"/>
        <v>0</v>
      </c>
    </row>
    <row r="82" spans="3:9">
      <c r="C82" s="151">
        <f>'l-q'!B81</f>
        <v>0.78</v>
      </c>
      <c r="D82" s="150">
        <f>'l-q'!C81</f>
        <v>0.55180000000000007</v>
      </c>
      <c r="E82" s="70">
        <f t="shared" si="10"/>
        <v>58945.354275890357</v>
      </c>
      <c r="F82" s="70">
        <f t="shared" si="11"/>
        <v>359.79593009025723</v>
      </c>
      <c r="G82" s="70">
        <f t="shared" si="12"/>
        <v>360.81598129838437</v>
      </c>
      <c r="H82" s="70">
        <f t="shared" si="13"/>
        <v>0</v>
      </c>
      <c r="I82" s="38">
        <f t="shared" si="14"/>
        <v>0</v>
      </c>
    </row>
    <row r="83" spans="3:9">
      <c r="C83" s="151">
        <f>'l-q'!B82</f>
        <v>0.79</v>
      </c>
      <c r="D83" s="150">
        <f>'l-q'!C82</f>
        <v>0.53679999999999994</v>
      </c>
      <c r="E83" s="70">
        <f t="shared" si="10"/>
        <v>57342.997780532685</v>
      </c>
      <c r="F83" s="70">
        <f t="shared" si="11"/>
        <v>358.84134699610377</v>
      </c>
      <c r="G83" s="70">
        <f t="shared" si="12"/>
        <v>359.83366937472402</v>
      </c>
      <c r="H83" s="70">
        <f t="shared" si="13"/>
        <v>0</v>
      </c>
      <c r="I83" s="38">
        <f t="shared" si="14"/>
        <v>0</v>
      </c>
    </row>
    <row r="84" spans="3:9">
      <c r="C84" s="151">
        <f>'l-q'!B83</f>
        <v>0.8</v>
      </c>
      <c r="D84" s="150">
        <f>'l-q'!C83</f>
        <v>0.52179999999999982</v>
      </c>
      <c r="E84" s="70">
        <f t="shared" si="10"/>
        <v>55740.641285175014</v>
      </c>
      <c r="F84" s="70">
        <f t="shared" si="11"/>
        <v>357.88676390195036</v>
      </c>
      <c r="G84" s="70">
        <f t="shared" si="12"/>
        <v>358.85135745106368</v>
      </c>
      <c r="H84" s="70">
        <f t="shared" si="13"/>
        <v>0</v>
      </c>
      <c r="I84" s="38">
        <f t="shared" si="14"/>
        <v>0</v>
      </c>
    </row>
    <row r="85" spans="3:9">
      <c r="C85" s="151">
        <f>'l-q'!B84</f>
        <v>0.81</v>
      </c>
      <c r="D85" s="150">
        <f>'l-q'!C84</f>
        <v>0.51270909090909067</v>
      </c>
      <c r="E85" s="70">
        <f t="shared" si="10"/>
        <v>54769.516136473394</v>
      </c>
      <c r="F85" s="70">
        <f t="shared" si="11"/>
        <v>357.30822869337248</v>
      </c>
      <c r="G85" s="70">
        <f t="shared" si="12"/>
        <v>358.25601689126955</v>
      </c>
      <c r="H85" s="70">
        <f t="shared" si="13"/>
        <v>0</v>
      </c>
      <c r="I85" s="38">
        <f t="shared" si="14"/>
        <v>0</v>
      </c>
    </row>
    <row r="86" spans="3:9">
      <c r="C86" s="151">
        <f>'l-q'!B85</f>
        <v>0.82</v>
      </c>
      <c r="D86" s="150">
        <f>'l-q'!C85</f>
        <v>0.50361818181818174</v>
      </c>
      <c r="E86" s="70">
        <f t="shared" si="10"/>
        <v>53798.390987771803</v>
      </c>
      <c r="F86" s="70">
        <f t="shared" si="11"/>
        <v>356.72969348479467</v>
      </c>
      <c r="G86" s="70">
        <f t="shared" si="12"/>
        <v>357.66067633147543</v>
      </c>
      <c r="H86" s="70">
        <f t="shared" si="13"/>
        <v>0</v>
      </c>
      <c r="I86" s="38">
        <f t="shared" si="14"/>
        <v>0</v>
      </c>
    </row>
    <row r="87" spans="3:9">
      <c r="C87" s="151">
        <f>'l-q'!B86</f>
        <v>0.83</v>
      </c>
      <c r="D87" s="150">
        <f>'l-q'!C86</f>
        <v>0.49452727272727259</v>
      </c>
      <c r="E87" s="70">
        <f t="shared" si="10"/>
        <v>52827.265839070184</v>
      </c>
      <c r="F87" s="70">
        <f t="shared" si="11"/>
        <v>356.15115827621685</v>
      </c>
      <c r="G87" s="70">
        <f t="shared" si="12"/>
        <v>357.0653357716813</v>
      </c>
      <c r="H87" s="70">
        <f t="shared" si="13"/>
        <v>0</v>
      </c>
      <c r="I87" s="38">
        <f t="shared" si="14"/>
        <v>0</v>
      </c>
    </row>
    <row r="88" spans="3:9">
      <c r="C88" s="151">
        <f>'l-q'!B87</f>
        <v>0.84</v>
      </c>
      <c r="D88" s="150">
        <f>'l-q'!C87</f>
        <v>0.48543636363636355</v>
      </c>
      <c r="E88" s="70">
        <f t="shared" si="10"/>
        <v>51856.140690368578</v>
      </c>
      <c r="F88" s="70">
        <f t="shared" si="11"/>
        <v>355.57262306763903</v>
      </c>
      <c r="G88" s="70">
        <f t="shared" si="12"/>
        <v>356.46999521188718</v>
      </c>
      <c r="H88" s="70">
        <f t="shared" si="13"/>
        <v>0</v>
      </c>
      <c r="I88" s="38">
        <f t="shared" si="14"/>
        <v>0</v>
      </c>
    </row>
    <row r="89" spans="3:9">
      <c r="C89" s="151">
        <f>'l-q'!B88</f>
        <v>0.85</v>
      </c>
      <c r="D89" s="150">
        <f>'l-q'!C88</f>
        <v>0.47634545454545441</v>
      </c>
      <c r="E89" s="70">
        <f t="shared" si="10"/>
        <v>50885.015541666966</v>
      </c>
      <c r="F89" s="70">
        <f t="shared" si="11"/>
        <v>354.99408785906121</v>
      </c>
      <c r="G89" s="70">
        <f t="shared" si="12"/>
        <v>355.87465465209306</v>
      </c>
      <c r="H89" s="70">
        <f t="shared" si="13"/>
        <v>0</v>
      </c>
      <c r="I89" s="38">
        <f t="shared" si="14"/>
        <v>0</v>
      </c>
    </row>
    <row r="90" spans="3:9">
      <c r="C90" s="151">
        <f>'l-q'!B89</f>
        <v>0.86</v>
      </c>
      <c r="D90" s="150">
        <f>'l-q'!C89</f>
        <v>0.46725454545454537</v>
      </c>
      <c r="E90" s="70">
        <f t="shared" si="10"/>
        <v>49913.890392965361</v>
      </c>
      <c r="F90" s="70">
        <f t="shared" si="11"/>
        <v>354.41555265048339</v>
      </c>
      <c r="G90" s="70">
        <f t="shared" si="12"/>
        <v>355.27931409229893</v>
      </c>
      <c r="H90" s="70">
        <f t="shared" si="13"/>
        <v>0</v>
      </c>
      <c r="I90" s="38">
        <f t="shared" si="14"/>
        <v>0</v>
      </c>
    </row>
    <row r="91" spans="3:9">
      <c r="C91" s="151">
        <f>'l-q'!B90</f>
        <v>0.87</v>
      </c>
      <c r="D91" s="150">
        <f>'l-q'!C90</f>
        <v>0.45816363636363622</v>
      </c>
      <c r="E91" s="70">
        <f t="shared" si="10"/>
        <v>48942.765244263741</v>
      </c>
      <c r="F91" s="70">
        <f t="shared" si="11"/>
        <v>353.83701744190552</v>
      </c>
      <c r="G91" s="70">
        <f t="shared" si="12"/>
        <v>354.68397353250475</v>
      </c>
      <c r="H91" s="70">
        <f t="shared" si="13"/>
        <v>0</v>
      </c>
      <c r="I91" s="38">
        <f t="shared" si="14"/>
        <v>0</v>
      </c>
    </row>
    <row r="92" spans="3:9">
      <c r="C92" s="151">
        <f>'l-q'!B91</f>
        <v>0.88</v>
      </c>
      <c r="D92" s="150">
        <f>'l-q'!C91</f>
        <v>0.44907272727272718</v>
      </c>
      <c r="E92" s="70">
        <f t="shared" si="10"/>
        <v>47971.640095562136</v>
      </c>
      <c r="F92" s="70">
        <f t="shared" si="11"/>
        <v>353.2584822333277</v>
      </c>
      <c r="G92" s="70">
        <f t="shared" si="12"/>
        <v>354.08863297271063</v>
      </c>
      <c r="H92" s="70">
        <f t="shared" si="13"/>
        <v>0</v>
      </c>
      <c r="I92" s="38">
        <f t="shared" si="14"/>
        <v>0</v>
      </c>
    </row>
    <row r="93" spans="3:9">
      <c r="C93" s="151">
        <f>'l-q'!B92</f>
        <v>0.89</v>
      </c>
      <c r="D93" s="150">
        <f>'l-q'!C92</f>
        <v>0.43998181818181803</v>
      </c>
      <c r="E93" s="70">
        <f t="shared" si="10"/>
        <v>47000.514946860523</v>
      </c>
      <c r="F93" s="70">
        <f t="shared" si="11"/>
        <v>352.67994702474988</v>
      </c>
      <c r="G93" s="70">
        <f t="shared" si="12"/>
        <v>353.4932924129165</v>
      </c>
      <c r="H93" s="70">
        <f t="shared" si="13"/>
        <v>0</v>
      </c>
      <c r="I93" s="38">
        <f t="shared" si="14"/>
        <v>0</v>
      </c>
    </row>
    <row r="94" spans="3:9">
      <c r="C94" s="151">
        <f>'l-q'!B93</f>
        <v>0.9</v>
      </c>
      <c r="D94" s="150">
        <f>'l-q'!C93</f>
        <v>0.43089090909090899</v>
      </c>
      <c r="E94" s="70">
        <f t="shared" si="10"/>
        <v>46029.389798158918</v>
      </c>
      <c r="F94" s="70">
        <f t="shared" si="11"/>
        <v>352.10141181617206</v>
      </c>
      <c r="G94" s="70">
        <f t="shared" si="12"/>
        <v>352.89795185312238</v>
      </c>
      <c r="H94" s="70">
        <f t="shared" si="13"/>
        <v>0</v>
      </c>
      <c r="I94" s="38">
        <f t="shared" si="14"/>
        <v>0</v>
      </c>
    </row>
    <row r="95" spans="3:9">
      <c r="C95" s="151">
        <f>'l-q'!B94</f>
        <v>0.91</v>
      </c>
      <c r="D95" s="150">
        <f>'l-q'!C94</f>
        <v>0.42179999999999995</v>
      </c>
      <c r="E95" s="70">
        <f t="shared" si="10"/>
        <v>45058.264649457313</v>
      </c>
      <c r="F95" s="70">
        <f t="shared" si="11"/>
        <v>351.52287660759418</v>
      </c>
      <c r="G95" s="70">
        <f t="shared" si="12"/>
        <v>352.30261129332825</v>
      </c>
      <c r="H95" s="70">
        <f t="shared" si="13"/>
        <v>0</v>
      </c>
      <c r="I95" s="38">
        <f t="shared" si="14"/>
        <v>0</v>
      </c>
    </row>
    <row r="96" spans="3:9">
      <c r="C96" s="151">
        <f>'l-q'!B95</f>
        <v>0.92</v>
      </c>
      <c r="D96" s="150">
        <f>'l-q'!C95</f>
        <v>0.41068888888888888</v>
      </c>
      <c r="E96" s="70">
        <f t="shared" si="10"/>
        <v>43871.333912155351</v>
      </c>
      <c r="F96" s="70">
        <f t="shared" si="11"/>
        <v>350.81577801933241</v>
      </c>
      <c r="G96" s="70">
        <f t="shared" si="12"/>
        <v>351.57497283135763</v>
      </c>
      <c r="H96" s="70">
        <f t="shared" si="13"/>
        <v>0</v>
      </c>
      <c r="I96" s="38">
        <f t="shared" si="14"/>
        <v>0</v>
      </c>
    </row>
    <row r="97" spans="3:9">
      <c r="C97" s="151">
        <f>'l-q'!B96</f>
        <v>0.93</v>
      </c>
      <c r="D97" s="150">
        <f>'l-q'!C96</f>
        <v>0.40957777777777782</v>
      </c>
      <c r="E97" s="70">
        <f t="shared" si="10"/>
        <v>43752.640838425155</v>
      </c>
      <c r="F97" s="70">
        <f t="shared" si="11"/>
        <v>350.74506816050626</v>
      </c>
      <c r="G97" s="70">
        <f t="shared" si="12"/>
        <v>351.50220898516056</v>
      </c>
      <c r="H97" s="70">
        <f t="shared" si="13"/>
        <v>0</v>
      </c>
      <c r="I97" s="38">
        <f t="shared" si="14"/>
        <v>0</v>
      </c>
    </row>
    <row r="98" spans="3:9">
      <c r="C98" s="151">
        <f>'l-q'!B97</f>
        <v>0.94</v>
      </c>
      <c r="D98" s="150">
        <f>'l-q'!C97</f>
        <v>0.40846666666666676</v>
      </c>
      <c r="E98" s="70">
        <f t="shared" si="10"/>
        <v>43633.947764694967</v>
      </c>
      <c r="F98" s="70">
        <f t="shared" si="11"/>
        <v>350.67435830168006</v>
      </c>
      <c r="G98" s="70">
        <f t="shared" si="12"/>
        <v>351.4294451389635</v>
      </c>
      <c r="H98" s="70">
        <f t="shared" si="13"/>
        <v>0</v>
      </c>
      <c r="I98" s="38">
        <f t="shared" si="14"/>
        <v>0</v>
      </c>
    </row>
    <row r="99" spans="3:9">
      <c r="C99" s="151">
        <f>'l-q'!B98</f>
        <v>0.95</v>
      </c>
      <c r="D99" s="150">
        <f>'l-q'!C98</f>
        <v>0.40735555555555569</v>
      </c>
      <c r="E99" s="70">
        <f t="shared" si="10"/>
        <v>43515.254690964772</v>
      </c>
      <c r="F99" s="70">
        <f t="shared" si="11"/>
        <v>350.60364844285391</v>
      </c>
      <c r="G99" s="70">
        <f t="shared" si="12"/>
        <v>351.35668129276644</v>
      </c>
      <c r="H99" s="70">
        <f t="shared" si="13"/>
        <v>0</v>
      </c>
      <c r="I99" s="38">
        <f t="shared" si="14"/>
        <v>0</v>
      </c>
    </row>
    <row r="100" spans="3:9">
      <c r="C100" s="151">
        <f>'l-q'!B99</f>
        <v>0.96</v>
      </c>
      <c r="D100" s="150">
        <f>'l-q'!C99</f>
        <v>0.40624444444444463</v>
      </c>
      <c r="E100" s="70">
        <f t="shared" ref="E100:E104" si="15">D100*$N$3</f>
        <v>43396.561617234584</v>
      </c>
      <c r="F100" s="70">
        <f t="shared" ref="F100:F104" si="16">E100*(($N$4/$N$5)+($N$6/$N$7)+($N$8/$N$9)+(1/$N$10))+$N$11</f>
        <v>350.5329385840277</v>
      </c>
      <c r="G100" s="70">
        <f t="shared" si="12"/>
        <v>351.28391744656938</v>
      </c>
      <c r="H100" s="70">
        <f t="shared" si="13"/>
        <v>0</v>
      </c>
      <c r="I100" s="38">
        <f t="shared" si="14"/>
        <v>0</v>
      </c>
    </row>
    <row r="101" spans="3:9">
      <c r="C101" s="151">
        <f>'l-q'!B100</f>
        <v>0.97</v>
      </c>
      <c r="D101" s="150">
        <f>'l-q'!C100</f>
        <v>0.40513333333333357</v>
      </c>
      <c r="E101" s="70">
        <f t="shared" si="15"/>
        <v>43277.868543504388</v>
      </c>
      <c r="F101" s="70">
        <f t="shared" si="16"/>
        <v>350.46222872520156</v>
      </c>
      <c r="G101" s="70">
        <f t="shared" si="12"/>
        <v>351.21115360037231</v>
      </c>
      <c r="H101" s="70">
        <f t="shared" si="13"/>
        <v>0</v>
      </c>
      <c r="I101" s="38">
        <f t="shared" si="14"/>
        <v>0</v>
      </c>
    </row>
    <row r="102" spans="3:9">
      <c r="C102" s="151">
        <f>'l-q'!B101</f>
        <v>0.98</v>
      </c>
      <c r="D102" s="150">
        <f>'l-q'!C101</f>
        <v>0.40402222222222228</v>
      </c>
      <c r="E102" s="70">
        <f t="shared" si="15"/>
        <v>43159.175469774178</v>
      </c>
      <c r="F102" s="70">
        <f t="shared" si="16"/>
        <v>350.39151886637535</v>
      </c>
      <c r="G102" s="70">
        <f t="shared" si="12"/>
        <v>351.13838975417525</v>
      </c>
      <c r="H102" s="70">
        <f t="shared" si="13"/>
        <v>0</v>
      </c>
      <c r="I102" s="38">
        <f t="shared" si="14"/>
        <v>0</v>
      </c>
    </row>
    <row r="103" spans="3:9">
      <c r="C103" s="151">
        <f>'l-q'!B102</f>
        <v>0.99</v>
      </c>
      <c r="D103" s="150">
        <f>'l-q'!C102</f>
        <v>0.40291111111111122</v>
      </c>
      <c r="E103" s="70">
        <f t="shared" si="15"/>
        <v>43040.482396043983</v>
      </c>
      <c r="F103" s="70">
        <f t="shared" si="16"/>
        <v>350.3208090075492</v>
      </c>
      <c r="G103" s="70">
        <f t="shared" si="12"/>
        <v>351.06562590797819</v>
      </c>
      <c r="H103" s="70">
        <f t="shared" si="13"/>
        <v>0</v>
      </c>
      <c r="I103" s="38">
        <f t="shared" si="14"/>
        <v>0</v>
      </c>
    </row>
    <row r="104" spans="3:9" ht="15.75" thickBot="1">
      <c r="C104" s="152">
        <f>'l-q'!B103</f>
        <v>1</v>
      </c>
      <c r="D104" s="153">
        <f>'l-q'!C103</f>
        <v>0.40000000000000013</v>
      </c>
      <c r="E104" s="63">
        <f t="shared" si="15"/>
        <v>42729.506542870869</v>
      </c>
      <c r="F104" s="63">
        <f t="shared" si="16"/>
        <v>350.13554917742459</v>
      </c>
      <c r="G104" s="63">
        <f t="shared" si="12"/>
        <v>350.87498463094192</v>
      </c>
      <c r="H104" s="63">
        <f t="shared" si="13"/>
        <v>0</v>
      </c>
      <c r="I104" s="64">
        <f t="shared" si="14"/>
        <v>0</v>
      </c>
    </row>
  </sheetData>
  <mergeCells count="6">
    <mergeCell ref="N11:O11"/>
    <mergeCell ref="N7:O7"/>
    <mergeCell ref="N3:O3"/>
    <mergeCell ref="N8:O8"/>
    <mergeCell ref="N9:O9"/>
    <mergeCell ref="N10:O10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CE8F8-00BA-4BCF-8FBD-73475BDE09EA}">
  <dimension ref="A1:AA46"/>
  <sheetViews>
    <sheetView zoomScaleNormal="100" workbookViewId="0">
      <selection activeCell="W36" sqref="W36"/>
    </sheetView>
  </sheetViews>
  <sheetFormatPr defaultRowHeight="15"/>
  <cols>
    <col min="1" max="1" width="3.28515625" customWidth="1"/>
    <col min="22" max="22" width="2.85546875" customWidth="1"/>
    <col min="23" max="23" width="47.140625" bestFit="1" customWidth="1"/>
    <col min="24" max="24" width="7.5703125" bestFit="1" customWidth="1"/>
    <col min="25" max="25" width="5.85546875" bestFit="1" customWidth="1"/>
    <col min="26" max="26" width="7.5703125" bestFit="1" customWidth="1"/>
    <col min="27" max="27" width="9.85546875" bestFit="1" customWidth="1"/>
  </cols>
  <sheetData>
    <row r="1" spans="1:27">
      <c r="A1" s="19"/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</row>
    <row r="2" spans="1:27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23" t="str">
        <f>'I &amp; O Exp'!I3</f>
        <v>Term</v>
      </c>
      <c r="X2" s="23" t="str">
        <f>'I &amp; O Exp'!J3</f>
        <v>Symbol</v>
      </c>
      <c r="Y2" s="23" t="str">
        <f>'I &amp; O Exp'!K3</f>
        <v>Unit</v>
      </c>
      <c r="Z2" s="23" t="str">
        <f>'I &amp; O Exp'!L3</f>
        <v>AISI 304</v>
      </c>
      <c r="AA2" s="23" t="str">
        <f>'I &amp; O Exp'!M3</f>
        <v>Sanicro 38</v>
      </c>
    </row>
    <row r="3" spans="1:27">
      <c r="A3" s="19"/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23" t="str">
        <f>'I &amp; O Exp'!I32</f>
        <v>Temperature water/steam</v>
      </c>
      <c r="X3" s="23" t="str">
        <f>'I &amp; O Exp'!J32</f>
        <v>Tw</v>
      </c>
      <c r="Y3" s="23" t="str">
        <f>'I &amp; O Exp'!K32</f>
        <v>(oC)</v>
      </c>
      <c r="Z3" s="77">
        <f>'I &amp; O Exp'!L32</f>
        <v>324.68</v>
      </c>
      <c r="AA3" s="77">
        <f>'I &amp; O Exp'!L32</f>
        <v>324.68</v>
      </c>
    </row>
    <row r="4" spans="1:27">
      <c r="A4" s="19"/>
      <c r="B4" s="19"/>
      <c r="C4" s="19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23" t="str">
        <f>'I &amp; O Exp'!I33</f>
        <v>Temperature deposit surface facing water</v>
      </c>
      <c r="X4" s="23" t="str">
        <f>'I &amp; O Exp'!J33</f>
        <v>Twd</v>
      </c>
      <c r="Y4" s="23" t="str">
        <f>'I &amp; O Exp'!K33</f>
        <v>(oC)</v>
      </c>
      <c r="Z4" s="77">
        <f>'I &amp; O Exp'!L33</f>
        <v>337.55840087691718</v>
      </c>
      <c r="AA4" s="77">
        <f>'I &amp; O Exp'!L33</f>
        <v>337.55840087691718</v>
      </c>
    </row>
    <row r="5" spans="1:27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23" t="str">
        <f>'I &amp; O Exp'!I34</f>
        <v>Temperature deposit-carbon steel interface</v>
      </c>
      <c r="X5" s="23" t="str">
        <f>'I &amp; O Exp'!J34</f>
        <v>Tdc</v>
      </c>
      <c r="Y5" s="23" t="str">
        <f>'I &amp; O Exp'!K34</f>
        <v>(oC)</v>
      </c>
      <c r="Z5" s="77">
        <f>'I &amp; O Exp'!L34</f>
        <v>394.1773458537487</v>
      </c>
      <c r="AA5" s="77">
        <f>'I &amp; O Exp'!L34</f>
        <v>394.1773458537487</v>
      </c>
    </row>
    <row r="6" spans="1:27">
      <c r="A6" s="19"/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23" t="str">
        <f>'I &amp; O Exp'!I35</f>
        <v>Temperature carbon steel-cladding interface</v>
      </c>
      <c r="X6" s="23" t="str">
        <f>'I &amp; O Exp'!J35</f>
        <v>Tcc</v>
      </c>
      <c r="Y6" s="23" t="str">
        <f>'I &amp; O Exp'!K35</f>
        <v>(oC)</v>
      </c>
      <c r="Z6" s="77">
        <f>'I &amp; O Exp'!L35</f>
        <v>412.91980729110719</v>
      </c>
      <c r="AA6" s="77">
        <f>'I &amp; O Exp'!M35</f>
        <v>412.91980729110719</v>
      </c>
    </row>
    <row r="7" spans="1:27">
      <c r="A7" s="19"/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23" t="str">
        <f>'I &amp; O Exp'!I36</f>
        <v>Temperature cladding surface facing furnace</v>
      </c>
      <c r="X7" s="23" t="str">
        <f>'I &amp; O Exp'!J36</f>
        <v>Tcf</v>
      </c>
      <c r="Y7" s="23" t="str">
        <f>'I &amp; O Exp'!K36</f>
        <v>(oC)</v>
      </c>
      <c r="Z7" s="77">
        <f>'I &amp; O Exp'!L36</f>
        <v>425.87000579510067</v>
      </c>
      <c r="AA7" s="77">
        <f>'I &amp; O Exp'!M36</f>
        <v>428.80938366139628</v>
      </c>
    </row>
    <row r="8" spans="1:27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23" t="str">
        <f>'I &amp; O Exp'!I37</f>
        <v>Temperature smelt surface facing furnace standard</v>
      </c>
      <c r="X8" s="23" t="str">
        <f>'I &amp; O Exp'!J37</f>
        <v>Tss</v>
      </c>
      <c r="Y8" s="23" t="str">
        <f>'I &amp; O Exp'!K37</f>
        <v>(oC)</v>
      </c>
      <c r="Z8" s="77">
        <f>'I &amp; O Exp'!L37</f>
        <v>720</v>
      </c>
      <c r="AA8" s="77">
        <f>'I &amp; O Exp'!L37</f>
        <v>720</v>
      </c>
    </row>
    <row r="9" spans="1:27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23"/>
      <c r="X9" s="23"/>
      <c r="Y9" s="23"/>
      <c r="Z9" s="47"/>
      <c r="AA9" s="47"/>
    </row>
    <row r="10" spans="1:27">
      <c r="A10" s="19"/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23" t="s">
        <v>79</v>
      </c>
      <c r="X10" s="23" t="s">
        <v>71</v>
      </c>
      <c r="Y10" s="23" t="s">
        <v>148</v>
      </c>
      <c r="Z10" s="160">
        <v>-1</v>
      </c>
      <c r="AA10" s="160">
        <v>-1</v>
      </c>
    </row>
    <row r="11" spans="1:27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23" t="s">
        <v>80</v>
      </c>
      <c r="X11" s="23" t="s">
        <v>333</v>
      </c>
      <c r="Y11" s="23" t="s">
        <v>148</v>
      </c>
      <c r="Z11" s="160">
        <v>0</v>
      </c>
      <c r="AA11" s="160">
        <v>0</v>
      </c>
    </row>
    <row r="12" spans="1:27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23" t="s">
        <v>77</v>
      </c>
      <c r="X12" s="23" t="s">
        <v>334</v>
      </c>
      <c r="Y12" s="23" t="s">
        <v>148</v>
      </c>
      <c r="Z12" s="160">
        <v>0.11</v>
      </c>
      <c r="AA12" s="160">
        <v>0.11</v>
      </c>
    </row>
    <row r="13" spans="1:27">
      <c r="A13" s="19"/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23" t="s">
        <v>81</v>
      </c>
      <c r="X13" s="23" t="s">
        <v>335</v>
      </c>
      <c r="Y13" s="23" t="s">
        <v>148</v>
      </c>
      <c r="Z13" s="160">
        <v>5.66</v>
      </c>
      <c r="AA13" s="160">
        <v>5.66</v>
      </c>
    </row>
    <row r="14" spans="1:27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  <c r="W14" s="23" t="s">
        <v>82</v>
      </c>
      <c r="X14" s="23" t="s">
        <v>336</v>
      </c>
      <c r="Y14" s="23" t="s">
        <v>148</v>
      </c>
      <c r="Z14" s="160">
        <v>7.48</v>
      </c>
      <c r="AA14" s="160">
        <v>7.48</v>
      </c>
    </row>
    <row r="15" spans="1:27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23" t="s">
        <v>83</v>
      </c>
      <c r="X15" s="23" t="s">
        <v>337</v>
      </c>
      <c r="Y15" s="23" t="s">
        <v>148</v>
      </c>
      <c r="Z15" s="160">
        <v>9</v>
      </c>
      <c r="AA15" s="160">
        <v>9</v>
      </c>
    </row>
    <row r="16" spans="1:27">
      <c r="A16" s="19"/>
      <c r="B16" s="19"/>
      <c r="C16" s="19"/>
      <c r="D16" s="19"/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</row>
    <row r="17" spans="1:22">
      <c r="A17" s="19"/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</row>
    <row r="18" spans="1:22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</row>
    <row r="19" spans="1:22">
      <c r="A19" s="19"/>
      <c r="B19" s="19"/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</row>
    <row r="20" spans="1:22">
      <c r="A20" s="19"/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</row>
    <row r="21" spans="1:22">
      <c r="A21" s="19"/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</row>
    <row r="22" spans="1:22">
      <c r="A22" s="19"/>
      <c r="B22" s="19"/>
      <c r="C22" s="19"/>
      <c r="D22" s="19"/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</row>
    <row r="23" spans="1:22">
      <c r="A23" s="19"/>
      <c r="B23" s="19"/>
      <c r="C23" s="19"/>
      <c r="D23" s="19"/>
      <c r="E23" s="19"/>
      <c r="F23" s="19"/>
      <c r="G23" s="19"/>
      <c r="H23" s="19"/>
      <c r="I23" s="19"/>
      <c r="J23" s="19"/>
      <c r="K23" s="19"/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</row>
    <row r="24" spans="1:22">
      <c r="A24" s="19"/>
      <c r="B24" s="19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</row>
    <row r="25" spans="1:22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19"/>
      <c r="P25" s="19"/>
      <c r="Q25" s="19"/>
      <c r="R25" s="19"/>
      <c r="S25" s="19"/>
      <c r="T25" s="19"/>
      <c r="U25" s="19"/>
      <c r="V25" s="19"/>
    </row>
    <row r="26" spans="1:22">
      <c r="A26" s="19"/>
      <c r="B26" s="19"/>
      <c r="C26" s="19"/>
      <c r="D26" s="19"/>
      <c r="E26" s="19"/>
      <c r="F26" s="19"/>
      <c r="G26" s="19"/>
      <c r="H26" s="19"/>
      <c r="I26" s="19"/>
      <c r="J26" s="19"/>
      <c r="K26" s="19"/>
      <c r="L26" s="19"/>
      <c r="M26" s="19"/>
      <c r="N26" s="19"/>
      <c r="O26" s="19"/>
      <c r="P26" s="19"/>
      <c r="Q26" s="19"/>
      <c r="R26" s="19"/>
      <c r="S26" s="19"/>
      <c r="T26" s="19"/>
      <c r="U26" s="19"/>
      <c r="V26" s="19"/>
    </row>
    <row r="27" spans="1:22">
      <c r="A27" s="19"/>
      <c r="B27" s="19"/>
      <c r="C27" s="19"/>
      <c r="D27" s="19"/>
      <c r="E27" s="19"/>
      <c r="F27" s="19"/>
      <c r="G27" s="19"/>
      <c r="H27" s="19"/>
      <c r="I27" s="19"/>
      <c r="J27" s="19"/>
      <c r="K27" s="19"/>
      <c r="L27" s="19"/>
      <c r="M27" s="19"/>
      <c r="N27" s="19"/>
      <c r="O27" s="19"/>
      <c r="P27" s="19"/>
      <c r="Q27" s="19"/>
      <c r="R27" s="19"/>
      <c r="S27" s="19"/>
      <c r="T27" s="19"/>
      <c r="U27" s="19"/>
      <c r="V27" s="19"/>
    </row>
    <row r="28" spans="1:22">
      <c r="A28" s="19"/>
      <c r="B28" s="19"/>
      <c r="C28" s="19"/>
      <c r="D28" s="19"/>
      <c r="E28" s="19"/>
      <c r="F28" s="19"/>
      <c r="G28" s="19"/>
      <c r="H28" s="19"/>
      <c r="I28" s="19"/>
      <c r="J28" s="19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</row>
    <row r="29" spans="1:22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19"/>
      <c r="M29" s="19"/>
      <c r="N29" s="19"/>
      <c r="O29" s="19"/>
      <c r="P29" s="19"/>
      <c r="Q29" s="19"/>
      <c r="R29" s="19"/>
      <c r="S29" s="19"/>
      <c r="T29" s="19"/>
      <c r="U29" s="19"/>
      <c r="V29" s="19"/>
    </row>
    <row r="30" spans="1:22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</row>
    <row r="31" spans="1:22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19"/>
      <c r="M31" s="19"/>
      <c r="N31" s="19"/>
      <c r="O31" s="19"/>
      <c r="P31" s="19"/>
      <c r="Q31" s="19"/>
      <c r="R31" s="19"/>
      <c r="S31" s="19"/>
      <c r="T31" s="19"/>
      <c r="U31" s="19"/>
      <c r="V31" s="19"/>
    </row>
    <row r="32" spans="1:22">
      <c r="A32" s="19"/>
      <c r="B32" s="19"/>
      <c r="C32" s="19"/>
      <c r="D32" s="19"/>
      <c r="E32" s="19"/>
      <c r="F32" s="19"/>
      <c r="G32" s="19"/>
      <c r="H32" s="19"/>
      <c r="I32" s="19"/>
      <c r="J32" s="19"/>
      <c r="K32" s="19"/>
      <c r="L32" s="19"/>
      <c r="M32" s="19"/>
      <c r="N32" s="19"/>
      <c r="O32" s="19"/>
      <c r="P32" s="19"/>
      <c r="Q32" s="19"/>
      <c r="R32" s="19"/>
      <c r="S32" s="19"/>
      <c r="T32" s="19"/>
      <c r="U32" s="19"/>
      <c r="V32" s="19"/>
    </row>
    <row r="33" spans="1:22">
      <c r="A33" s="19"/>
      <c r="B33" s="19"/>
      <c r="C33" s="19"/>
      <c r="D33" s="19"/>
      <c r="E33" s="19"/>
      <c r="F33" s="19"/>
      <c r="G33" s="19"/>
      <c r="H33" s="19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</row>
    <row r="34" spans="1:22">
      <c r="A34" s="19"/>
      <c r="B34" s="19"/>
      <c r="C34" s="19"/>
      <c r="D34" s="19"/>
      <c r="E34" s="19"/>
      <c r="F34" s="19"/>
      <c r="G34" s="19"/>
      <c r="H34" s="19"/>
      <c r="I34" s="19"/>
      <c r="J34" s="19"/>
      <c r="K34" s="19"/>
      <c r="L34" s="19"/>
      <c r="M34" s="19"/>
      <c r="N34" s="19"/>
      <c r="O34" s="19"/>
      <c r="P34" s="19"/>
      <c r="Q34" s="19"/>
      <c r="R34" s="19"/>
      <c r="S34" s="19"/>
      <c r="T34" s="19"/>
      <c r="U34" s="19"/>
      <c r="V34" s="19"/>
    </row>
    <row r="35" spans="1:22">
      <c r="A35" s="19"/>
      <c r="B35" s="19"/>
      <c r="C35" s="19"/>
      <c r="D35" s="19"/>
      <c r="E35" s="19"/>
      <c r="F35" s="19"/>
      <c r="G35" s="19"/>
      <c r="H35" s="19"/>
      <c r="I35" s="19"/>
      <c r="J35" s="19"/>
      <c r="K35" s="19"/>
      <c r="L35" s="19"/>
      <c r="M35" s="19"/>
      <c r="N35" s="19"/>
      <c r="O35" s="19"/>
      <c r="P35" s="19"/>
      <c r="Q35" s="19"/>
      <c r="R35" s="19"/>
      <c r="S35" s="19"/>
      <c r="T35" s="19"/>
      <c r="U35" s="19"/>
      <c r="V35" s="19"/>
    </row>
    <row r="36" spans="1:22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19"/>
      <c r="P36" s="19"/>
      <c r="Q36" s="19"/>
      <c r="R36" s="19"/>
      <c r="S36" s="19"/>
      <c r="T36" s="19"/>
      <c r="U36" s="19"/>
      <c r="V36" s="19"/>
    </row>
    <row r="37" spans="1:22">
      <c r="A37" s="19"/>
      <c r="B37" s="19"/>
      <c r="C37" s="19"/>
      <c r="D37" s="19"/>
      <c r="E37" s="19"/>
      <c r="F37" s="19"/>
      <c r="G37" s="19"/>
      <c r="H37" s="19"/>
      <c r="I37" s="19"/>
      <c r="J37" s="19"/>
      <c r="K37" s="19"/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</row>
    <row r="38" spans="1:22">
      <c r="A38" s="19"/>
      <c r="B38" s="19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</row>
    <row r="39" spans="1:22">
      <c r="A39" s="19"/>
      <c r="B39" s="19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</row>
    <row r="40" spans="1:22">
      <c r="A40" s="19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</row>
    <row r="41" spans="1:22">
      <c r="A41" s="19"/>
      <c r="B41" s="19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</row>
    <row r="42" spans="1:22">
      <c r="A42" s="19"/>
      <c r="B42" s="19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</row>
    <row r="43" spans="1:22">
      <c r="A43" s="19"/>
      <c r="B43" s="19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</row>
    <row r="44" spans="1:22">
      <c r="A44" s="19"/>
      <c r="B44" s="19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</row>
    <row r="45" spans="1:22">
      <c r="A45" s="19"/>
      <c r="B45" s="19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</row>
    <row r="46" spans="1:22">
      <c r="A46" s="19"/>
      <c r="B46" s="19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A2FE0A-9BED-4EAE-8A1A-2B4BCE200ABA}">
  <dimension ref="B2:O42"/>
  <sheetViews>
    <sheetView zoomScaleNormal="100" workbookViewId="0">
      <selection activeCell="G28" sqref="G28"/>
    </sheetView>
  </sheetViews>
  <sheetFormatPr defaultRowHeight="15"/>
  <cols>
    <col min="1" max="1" width="3.28515625" customWidth="1"/>
    <col min="2" max="2" width="60.28515625" bestFit="1" customWidth="1"/>
    <col min="3" max="3" width="7.5703125" bestFit="1" customWidth="1"/>
    <col min="4" max="4" width="10" bestFit="1" customWidth="1"/>
    <col min="5" max="5" width="8.5703125" style="2" customWidth="1"/>
    <col min="6" max="6" width="2.85546875" bestFit="1" customWidth="1"/>
    <col min="7" max="7" width="34.42578125" bestFit="1" customWidth="1"/>
    <col min="8" max="8" width="3.42578125" customWidth="1"/>
    <col min="9" max="9" width="47.140625" bestFit="1" customWidth="1"/>
    <col min="10" max="10" width="7.5703125" bestFit="1" customWidth="1"/>
    <col min="11" max="11" width="9.42578125" bestFit="1" customWidth="1"/>
    <col min="12" max="12" width="7.85546875" bestFit="1" customWidth="1"/>
    <col min="13" max="13" width="9.85546875" bestFit="1" customWidth="1"/>
    <col min="14" max="14" width="12" bestFit="1" customWidth="1"/>
    <col min="15" max="15" width="14.140625" bestFit="1" customWidth="1"/>
  </cols>
  <sheetData>
    <row r="2" spans="2:15" ht="32.25" thickBot="1">
      <c r="B2" s="7" t="s">
        <v>22</v>
      </c>
      <c r="I2" s="7" t="s">
        <v>23</v>
      </c>
    </row>
    <row r="3" spans="2:15">
      <c r="B3" s="42" t="s">
        <v>0</v>
      </c>
      <c r="C3" s="37" t="s">
        <v>46</v>
      </c>
      <c r="D3" s="46" t="s">
        <v>1</v>
      </c>
      <c r="E3" s="187" t="s">
        <v>49</v>
      </c>
      <c r="I3" s="42" t="str">
        <f>CM!B1</f>
        <v>Term</v>
      </c>
      <c r="J3" s="37" t="str">
        <f>CM!C1</f>
        <v>Symbol</v>
      </c>
      <c r="K3" s="37" t="str">
        <f>CM!D1</f>
        <v>Unit</v>
      </c>
      <c r="L3" s="185" t="str">
        <f>CM!E1</f>
        <v>AISI 304</v>
      </c>
      <c r="M3" s="185" t="str">
        <f>CM!F1</f>
        <v>Sanicro 38</v>
      </c>
      <c r="N3" s="185" t="str">
        <f>CM!G1</f>
        <v>AISI 304 max</v>
      </c>
      <c r="O3" s="186" t="str">
        <f>CM!H1</f>
        <v>Sanicro 38 max</v>
      </c>
    </row>
    <row r="4" spans="2:15" ht="18">
      <c r="B4" s="171" t="s">
        <v>386</v>
      </c>
      <c r="C4" s="75" t="s">
        <v>114</v>
      </c>
      <c r="D4" s="176" t="s">
        <v>153</v>
      </c>
      <c r="E4" s="168">
        <f>'I &amp; O'!E4</f>
        <v>37.9</v>
      </c>
      <c r="I4" s="45" t="s">
        <v>180</v>
      </c>
      <c r="J4" s="23" t="s">
        <v>48</v>
      </c>
      <c r="K4" s="23" t="s">
        <v>149</v>
      </c>
      <c r="L4" s="237">
        <f>CM!E2</f>
        <v>5000</v>
      </c>
      <c r="M4" s="237"/>
      <c r="N4" s="237"/>
      <c r="O4" s="238"/>
    </row>
    <row r="5" spans="2:15" ht="18">
      <c r="B5" s="171" t="s">
        <v>40</v>
      </c>
      <c r="C5" s="75" t="s">
        <v>116</v>
      </c>
      <c r="D5" s="176" t="s">
        <v>153</v>
      </c>
      <c r="E5" s="168">
        <f>'I &amp; O'!E5</f>
        <v>13.526</v>
      </c>
      <c r="I5" s="161" t="s">
        <v>9</v>
      </c>
      <c r="J5" s="93" t="s">
        <v>187</v>
      </c>
      <c r="K5" s="23" t="s">
        <v>152</v>
      </c>
      <c r="L5" s="237">
        <f>CM!E10</f>
        <v>730.32407407407402</v>
      </c>
      <c r="M5" s="237"/>
      <c r="N5" s="237"/>
      <c r="O5" s="238"/>
    </row>
    <row r="6" spans="2:15" ht="18">
      <c r="B6" s="171" t="s">
        <v>41</v>
      </c>
      <c r="C6" s="75" t="s">
        <v>117</v>
      </c>
      <c r="D6" s="176" t="s">
        <v>153</v>
      </c>
      <c r="E6" s="168">
        <f>'I &amp; O'!E6</f>
        <v>15.028</v>
      </c>
      <c r="I6" s="45" t="s">
        <v>53</v>
      </c>
      <c r="J6" s="23" t="s">
        <v>115</v>
      </c>
      <c r="K6" s="23" t="s">
        <v>176</v>
      </c>
      <c r="L6" s="237">
        <f>CM!E13</f>
        <v>203.26872800000001</v>
      </c>
      <c r="M6" s="237"/>
      <c r="N6" s="237"/>
      <c r="O6" s="238"/>
    </row>
    <row r="7" spans="2:15" ht="18.75" thickBot="1">
      <c r="B7" s="171" t="s">
        <v>254</v>
      </c>
      <c r="C7" s="75" t="s">
        <v>10</v>
      </c>
      <c r="D7" s="176" t="s">
        <v>156</v>
      </c>
      <c r="E7" s="168">
        <f>'I &amp; O'!E7</f>
        <v>120</v>
      </c>
      <c r="I7" s="45" t="s">
        <v>84</v>
      </c>
      <c r="J7" s="23" t="s">
        <v>191</v>
      </c>
      <c r="K7" s="23" t="s">
        <v>164</v>
      </c>
      <c r="L7" s="237">
        <f>CM!E16</f>
        <v>3.5928993173710122</v>
      </c>
      <c r="M7" s="237"/>
      <c r="N7" s="237"/>
      <c r="O7" s="238"/>
    </row>
    <row r="8" spans="2:15" ht="18.75" thickBot="1">
      <c r="B8" s="171" t="s">
        <v>8</v>
      </c>
      <c r="C8" s="75" t="s">
        <v>193</v>
      </c>
      <c r="D8" s="176" t="s">
        <v>151</v>
      </c>
      <c r="E8" s="168">
        <f>IF('I &amp; O'!E8&lt;&gt;0, 'I &amp; O'!E8, CM!E5)</f>
        <v>12.62</v>
      </c>
      <c r="F8" t="s">
        <v>14</v>
      </c>
      <c r="G8" s="6" t="str">
        <f>'I &amp; O'!G8</f>
        <v>Hardwood 13 (MJ/(kgDS))</v>
      </c>
      <c r="I8" s="45" t="s">
        <v>119</v>
      </c>
      <c r="J8" s="23" t="s">
        <v>118</v>
      </c>
      <c r="K8" s="112" t="s">
        <v>232</v>
      </c>
      <c r="L8" s="237">
        <f>CM!E38</f>
        <v>106.82376635717715</v>
      </c>
      <c r="M8" s="237"/>
      <c r="N8" s="237"/>
      <c r="O8" s="238"/>
    </row>
    <row r="9" spans="2:15" ht="18">
      <c r="B9" s="171" t="s">
        <v>180</v>
      </c>
      <c r="C9" s="75" t="s">
        <v>48</v>
      </c>
      <c r="D9" s="176" t="s">
        <v>149</v>
      </c>
      <c r="E9" s="168">
        <f>'I &amp; O'!E9</f>
        <v>5000</v>
      </c>
      <c r="I9" s="45" t="s">
        <v>2</v>
      </c>
      <c r="J9" s="23" t="s">
        <v>231</v>
      </c>
      <c r="K9" s="112" t="s">
        <v>232</v>
      </c>
      <c r="L9" s="237">
        <f>CM!E39</f>
        <v>169.85683493049461</v>
      </c>
      <c r="M9" s="237"/>
      <c r="N9" s="237">
        <f>CM!G39</f>
        <v>170.91802617148346</v>
      </c>
      <c r="O9" s="238"/>
    </row>
    <row r="10" spans="2:15" ht="18">
      <c r="B10" s="171" t="s">
        <v>20</v>
      </c>
      <c r="C10" s="113" t="s">
        <v>234</v>
      </c>
      <c r="D10" s="179" t="s">
        <v>148</v>
      </c>
      <c r="E10" s="168">
        <f>'I &amp; O'!E10</f>
        <v>63.5</v>
      </c>
      <c r="I10" s="45" t="s">
        <v>72</v>
      </c>
      <c r="J10" s="23" t="s">
        <v>219</v>
      </c>
      <c r="K10" s="23" t="s">
        <v>154</v>
      </c>
      <c r="L10" s="241">
        <f>CM!E33</f>
        <v>1.5900659630606861</v>
      </c>
      <c r="M10" s="241"/>
      <c r="N10" s="241">
        <f>CM!G33</f>
        <v>1.6</v>
      </c>
      <c r="O10" s="242"/>
    </row>
    <row r="11" spans="2:15" ht="18">
      <c r="B11" s="171" t="s">
        <v>47</v>
      </c>
      <c r="C11" s="75" t="s">
        <v>237</v>
      </c>
      <c r="D11" s="176" t="s">
        <v>148</v>
      </c>
      <c r="E11" s="168">
        <f>'I &amp; O'!E11</f>
        <v>6.5299999999999994</v>
      </c>
      <c r="I11" s="45" t="s">
        <v>29</v>
      </c>
      <c r="J11" s="23" t="s">
        <v>211</v>
      </c>
      <c r="K11" s="23" t="s">
        <v>154</v>
      </c>
      <c r="L11" s="243">
        <f>CM!E30</f>
        <v>4.9868073878627968E-2</v>
      </c>
      <c r="M11" s="243"/>
      <c r="N11" s="243"/>
      <c r="O11" s="244"/>
    </row>
    <row r="12" spans="2:15" ht="18">
      <c r="B12" s="171" t="s">
        <v>99</v>
      </c>
      <c r="C12" s="75" t="s">
        <v>240</v>
      </c>
      <c r="D12" s="179" t="s">
        <v>148</v>
      </c>
      <c r="E12" s="168">
        <f>'I &amp; O'!E12</f>
        <v>1.65</v>
      </c>
      <c r="I12" s="45" t="s">
        <v>258</v>
      </c>
      <c r="J12" s="23" t="s">
        <v>128</v>
      </c>
      <c r="K12" s="23" t="s">
        <v>159</v>
      </c>
      <c r="L12" s="237">
        <f>CM!E70</f>
        <v>0.51166999999999996</v>
      </c>
      <c r="M12" s="237"/>
      <c r="N12" s="237"/>
      <c r="O12" s="238"/>
    </row>
    <row r="13" spans="2:15" ht="18.75" thickBot="1">
      <c r="B13" s="171" t="s">
        <v>340</v>
      </c>
      <c r="C13" s="75" t="s">
        <v>240</v>
      </c>
      <c r="D13" s="179" t="s">
        <v>148</v>
      </c>
      <c r="E13" s="168">
        <f>'I &amp; O'!E13</f>
        <v>1.65</v>
      </c>
      <c r="I13" s="45" t="s">
        <v>13</v>
      </c>
      <c r="J13" s="23" t="s">
        <v>280</v>
      </c>
      <c r="K13" s="23" t="s">
        <v>159</v>
      </c>
      <c r="L13" s="237">
        <f>CM!E85</f>
        <v>0.3</v>
      </c>
      <c r="M13" s="237"/>
      <c r="N13" s="237"/>
      <c r="O13" s="238"/>
    </row>
    <row r="14" spans="2:15" ht="18.75" thickBot="1">
      <c r="B14" s="171" t="s">
        <v>13</v>
      </c>
      <c r="C14" s="75" t="s">
        <v>279</v>
      </c>
      <c r="D14" s="176" t="s">
        <v>159</v>
      </c>
      <c r="E14" s="168">
        <f>IF('I &amp; O'!E14&lt;&gt;0, 'I &amp; O'!E14, CM!E83)</f>
        <v>0.3</v>
      </c>
      <c r="F14" t="s">
        <v>14</v>
      </c>
      <c r="G14" s="6" t="str">
        <f>'I &amp; O'!G14</f>
        <v>Iron and other impurities (0,3 W/mK)</v>
      </c>
      <c r="I14" s="45" t="s">
        <v>21</v>
      </c>
      <c r="J14" s="23" t="s">
        <v>300</v>
      </c>
      <c r="K14" s="112" t="s">
        <v>159</v>
      </c>
      <c r="L14" s="237">
        <f>CM!E95</f>
        <v>44.225853537497578</v>
      </c>
      <c r="M14" s="237"/>
      <c r="N14" s="237">
        <f>CM!G95</f>
        <v>44.217584201258624</v>
      </c>
      <c r="O14" s="238"/>
    </row>
    <row r="15" spans="2:15" ht="18.75" thickBot="1">
      <c r="B15" s="171" t="s">
        <v>104</v>
      </c>
      <c r="C15" s="75" t="s">
        <v>281</v>
      </c>
      <c r="D15" s="176" t="s">
        <v>161</v>
      </c>
      <c r="E15" s="168">
        <f>'I &amp; O'!E15</f>
        <v>100</v>
      </c>
      <c r="I15" s="45" t="s">
        <v>74</v>
      </c>
      <c r="J15" s="23" t="s">
        <v>304</v>
      </c>
      <c r="K15" s="112" t="s">
        <v>159</v>
      </c>
      <c r="L15" s="47">
        <f>CM!E101</f>
        <v>21.641658816958763</v>
      </c>
      <c r="M15" s="47">
        <f>CM!F101</f>
        <v>17.638215840628956</v>
      </c>
      <c r="N15" s="47">
        <f>CM!G101</f>
        <v>21.650994412164351</v>
      </c>
      <c r="O15" s="48">
        <f>CM!H101</f>
        <v>17.647773493289016</v>
      </c>
    </row>
    <row r="16" spans="2:15" ht="18.75" thickBot="1">
      <c r="B16" s="172" t="s">
        <v>338</v>
      </c>
      <c r="C16" s="141" t="s">
        <v>215</v>
      </c>
      <c r="D16" s="183" t="s">
        <v>153</v>
      </c>
      <c r="E16" s="184">
        <f>'I &amp; O'!E16</f>
        <v>1.89</v>
      </c>
      <c r="F16" s="2" t="s">
        <v>14</v>
      </c>
      <c r="G16" s="6"/>
      <c r="I16" s="45" t="s">
        <v>75</v>
      </c>
      <c r="J16" s="23" t="s">
        <v>305</v>
      </c>
      <c r="K16" s="23" t="s">
        <v>159</v>
      </c>
      <c r="L16" s="237">
        <f>CM!E103</f>
        <v>0.6</v>
      </c>
      <c r="M16" s="237"/>
      <c r="N16" s="237"/>
      <c r="O16" s="238"/>
    </row>
    <row r="17" spans="2:15" ht="15" customHeight="1">
      <c r="I17" s="45" t="s">
        <v>104</v>
      </c>
      <c r="J17" s="23" t="s">
        <v>281</v>
      </c>
      <c r="K17" s="23" t="s">
        <v>161</v>
      </c>
      <c r="L17" s="239">
        <f>CM!E86</f>
        <v>100</v>
      </c>
      <c r="M17" s="239"/>
      <c r="N17" s="239"/>
      <c r="O17" s="240"/>
    </row>
    <row r="18" spans="2:15" ht="32.25" thickBot="1">
      <c r="B18" s="7" t="s">
        <v>25</v>
      </c>
      <c r="I18" s="45" t="s">
        <v>101</v>
      </c>
      <c r="J18" s="23" t="s">
        <v>243</v>
      </c>
      <c r="K18" s="23" t="s">
        <v>148</v>
      </c>
      <c r="L18" s="49">
        <f>CM!E54</f>
        <v>4.879999999999999</v>
      </c>
      <c r="M18" s="49">
        <f>CM!F54</f>
        <v>4.879999999999999</v>
      </c>
      <c r="N18" s="49">
        <f>CM!G54</f>
        <v>4.879999999999999</v>
      </c>
      <c r="O18" s="50">
        <f>CM!H54</f>
        <v>4.879999999999999</v>
      </c>
    </row>
    <row r="19" spans="2:15" ht="18">
      <c r="B19" s="173" t="s">
        <v>9</v>
      </c>
      <c r="C19" s="174" t="s">
        <v>186</v>
      </c>
      <c r="D19" s="175" t="s">
        <v>152</v>
      </c>
      <c r="E19" s="167"/>
      <c r="I19" s="45" t="s">
        <v>112</v>
      </c>
      <c r="J19" s="23" t="s">
        <v>240</v>
      </c>
      <c r="K19" s="49" t="s">
        <v>148</v>
      </c>
      <c r="L19" s="49">
        <f>CM!E49</f>
        <v>1.65</v>
      </c>
      <c r="M19" s="49">
        <f>CM!F49</f>
        <v>1.65</v>
      </c>
      <c r="N19" s="49">
        <f>CM!G49</f>
        <v>1.65</v>
      </c>
      <c r="O19" s="50">
        <f>CM!H49</f>
        <v>1.65</v>
      </c>
    </row>
    <row r="20" spans="2:15" ht="18">
      <c r="B20" s="171" t="s">
        <v>84</v>
      </c>
      <c r="C20" s="75" t="s">
        <v>190</v>
      </c>
      <c r="D20" s="176" t="s">
        <v>164</v>
      </c>
      <c r="E20" s="168"/>
      <c r="I20" s="45" t="s">
        <v>308</v>
      </c>
      <c r="J20" s="23" t="s">
        <v>134</v>
      </c>
      <c r="K20" s="23" t="s">
        <v>148</v>
      </c>
      <c r="L20" s="49">
        <f>CM!E105</f>
        <v>1.0389808369804747</v>
      </c>
      <c r="M20" s="49">
        <f>CM!F105</f>
        <v>1.0285978181252189</v>
      </c>
      <c r="N20" s="49">
        <f>CM!G105</f>
        <v>1.0303181063177662</v>
      </c>
      <c r="O20" s="50">
        <f>CM!H105</f>
        <v>1.0199457606146669</v>
      </c>
    </row>
    <row r="21" spans="2:15" ht="18">
      <c r="B21" s="171" t="s">
        <v>2</v>
      </c>
      <c r="C21" s="75" t="s">
        <v>230</v>
      </c>
      <c r="D21" s="177" t="s">
        <v>232</v>
      </c>
      <c r="E21" s="168"/>
      <c r="I21" s="45" t="s">
        <v>47</v>
      </c>
      <c r="J21" s="23" t="s">
        <v>237</v>
      </c>
      <c r="K21" s="23" t="s">
        <v>148</v>
      </c>
      <c r="L21" s="239">
        <f>CM!E45</f>
        <v>6.5299999999999994</v>
      </c>
      <c r="M21" s="239"/>
      <c r="N21" s="239"/>
      <c r="O21" s="240"/>
    </row>
    <row r="22" spans="2:15" ht="18">
      <c r="B22" s="171" t="s">
        <v>21</v>
      </c>
      <c r="C22" s="75" t="s">
        <v>299</v>
      </c>
      <c r="D22" s="177" t="s">
        <v>159</v>
      </c>
      <c r="E22" s="168"/>
      <c r="I22" s="45" t="s">
        <v>20</v>
      </c>
      <c r="J22" s="49" t="s">
        <v>234</v>
      </c>
      <c r="K22" s="49" t="s">
        <v>148</v>
      </c>
      <c r="L22" s="239">
        <f>CM!E41</f>
        <v>63.5</v>
      </c>
      <c r="M22" s="239"/>
      <c r="N22" s="239"/>
      <c r="O22" s="240"/>
    </row>
    <row r="23" spans="2:15" ht="18">
      <c r="B23" s="171" t="s">
        <v>74</v>
      </c>
      <c r="C23" s="75" t="s">
        <v>303</v>
      </c>
      <c r="D23" s="177" t="s">
        <v>159</v>
      </c>
      <c r="E23" s="168"/>
      <c r="I23" s="45" t="s">
        <v>73</v>
      </c>
      <c r="J23" s="23" t="s">
        <v>120</v>
      </c>
      <c r="K23" s="23" t="s">
        <v>148</v>
      </c>
      <c r="L23" s="239">
        <f>CM!E55*10^3</f>
        <v>50.44</v>
      </c>
      <c r="M23" s="239"/>
      <c r="N23" s="239"/>
      <c r="O23" s="240"/>
    </row>
    <row r="24" spans="2:15" ht="18">
      <c r="B24" s="171" t="s">
        <v>74</v>
      </c>
      <c r="C24" s="75" t="s">
        <v>303</v>
      </c>
      <c r="D24" s="177" t="s">
        <v>159</v>
      </c>
      <c r="E24" s="168"/>
      <c r="I24" s="45" t="s">
        <v>56</v>
      </c>
      <c r="J24" s="23" t="s">
        <v>121</v>
      </c>
      <c r="K24" s="23" t="s">
        <v>176</v>
      </c>
      <c r="L24" s="239">
        <f>CM!E56</f>
        <v>1.9982049807675422E-3</v>
      </c>
      <c r="M24" s="239"/>
      <c r="N24" s="239"/>
      <c r="O24" s="240"/>
    </row>
    <row r="25" spans="2:15" ht="18">
      <c r="B25" s="178" t="s">
        <v>339</v>
      </c>
      <c r="C25" s="113" t="s">
        <v>247</v>
      </c>
      <c r="D25" s="179" t="s">
        <v>155</v>
      </c>
      <c r="E25" s="168"/>
      <c r="I25" s="45" t="s">
        <v>113</v>
      </c>
      <c r="J25" s="23" t="s">
        <v>252</v>
      </c>
      <c r="K25" s="23" t="s">
        <v>154</v>
      </c>
      <c r="L25" s="241">
        <f>CM!E63</f>
        <v>0</v>
      </c>
      <c r="M25" s="241"/>
      <c r="N25" s="241"/>
      <c r="O25" s="242"/>
    </row>
    <row r="26" spans="2:15" ht="18">
      <c r="B26" s="171" t="s">
        <v>113</v>
      </c>
      <c r="C26" s="75" t="s">
        <v>250</v>
      </c>
      <c r="D26" s="180" t="s">
        <v>154</v>
      </c>
      <c r="E26" s="169"/>
      <c r="I26" s="45" t="s">
        <v>11</v>
      </c>
      <c r="J26" s="23" t="s">
        <v>253</v>
      </c>
      <c r="K26" s="23" t="s">
        <v>154</v>
      </c>
      <c r="L26" s="241">
        <f>CM!E64</f>
        <v>1</v>
      </c>
      <c r="M26" s="241"/>
      <c r="N26" s="241"/>
      <c r="O26" s="242"/>
    </row>
    <row r="27" spans="2:15" ht="19.5" thickBot="1">
      <c r="B27" s="172" t="s">
        <v>135</v>
      </c>
      <c r="C27" s="181" t="s">
        <v>204</v>
      </c>
      <c r="D27" s="182"/>
      <c r="E27" s="170"/>
      <c r="I27" s="162" t="s">
        <v>277</v>
      </c>
      <c r="J27" s="23" t="s">
        <v>124</v>
      </c>
      <c r="K27" s="23" t="s">
        <v>155</v>
      </c>
      <c r="L27" s="237">
        <f>CM!E75</f>
        <v>2</v>
      </c>
      <c r="M27" s="237"/>
      <c r="N27" s="237"/>
      <c r="O27" s="238"/>
    </row>
    <row r="28" spans="2:15">
      <c r="I28" s="45" t="s">
        <v>62</v>
      </c>
      <c r="J28" s="23" t="s">
        <v>58</v>
      </c>
      <c r="K28" s="23"/>
      <c r="L28" s="237">
        <f>CM!E76</f>
        <v>863834.36017408792</v>
      </c>
      <c r="M28" s="237"/>
      <c r="N28" s="237"/>
      <c r="O28" s="238"/>
    </row>
    <row r="29" spans="2:15">
      <c r="I29" s="45" t="s">
        <v>63</v>
      </c>
      <c r="J29" s="23" t="s">
        <v>59</v>
      </c>
      <c r="K29" s="23"/>
      <c r="L29" s="237">
        <f>CM!E77</f>
        <v>1.0182044448570369</v>
      </c>
      <c r="M29" s="237"/>
      <c r="N29" s="237"/>
      <c r="O29" s="238"/>
    </row>
    <row r="30" spans="2:15">
      <c r="I30" s="45" t="s">
        <v>64</v>
      </c>
      <c r="J30" s="23" t="s">
        <v>60</v>
      </c>
      <c r="K30" s="23"/>
      <c r="L30" s="237">
        <f>CM!E78</f>
        <v>1300.1881729747251</v>
      </c>
      <c r="M30" s="237"/>
      <c r="N30" s="237"/>
      <c r="O30" s="238"/>
    </row>
    <row r="31" spans="2:15" ht="17.25">
      <c r="I31" s="45" t="s">
        <v>65</v>
      </c>
      <c r="J31" s="23" t="s">
        <v>61</v>
      </c>
      <c r="K31" s="23" t="s">
        <v>178</v>
      </c>
      <c r="L31" s="237">
        <f>CM!E79</f>
        <v>13189.279985447611</v>
      </c>
      <c r="M31" s="237"/>
      <c r="N31" s="237"/>
      <c r="O31" s="238"/>
    </row>
    <row r="32" spans="2:15" ht="18">
      <c r="I32" s="45" t="s">
        <v>259</v>
      </c>
      <c r="J32" s="23" t="s">
        <v>130</v>
      </c>
      <c r="K32" s="23" t="s">
        <v>166</v>
      </c>
      <c r="L32" s="237">
        <f>CM!E71</f>
        <v>324.68</v>
      </c>
      <c r="M32" s="237"/>
      <c r="N32" s="237"/>
      <c r="O32" s="238"/>
    </row>
    <row r="33" spans="5:15" ht="18">
      <c r="I33" s="45" t="s">
        <v>76</v>
      </c>
      <c r="J33" s="23" t="s">
        <v>129</v>
      </c>
      <c r="K33" s="23" t="s">
        <v>166</v>
      </c>
      <c r="L33" s="237">
        <f>CM!E80</f>
        <v>337.55840087691718</v>
      </c>
      <c r="M33" s="237"/>
      <c r="N33" s="237">
        <f>CM!G80</f>
        <v>337.63885949498882</v>
      </c>
      <c r="O33" s="238"/>
    </row>
    <row r="34" spans="5:15" ht="18">
      <c r="I34" s="45" t="s">
        <v>385</v>
      </c>
      <c r="J34" s="23" t="s">
        <v>131</v>
      </c>
      <c r="K34" s="23" t="s">
        <v>166</v>
      </c>
      <c r="L34" s="237">
        <f>CM!E89</f>
        <v>394.1773458537487</v>
      </c>
      <c r="M34" s="237"/>
      <c r="N34" s="237">
        <f>CM!G89</f>
        <v>394.61153488548331</v>
      </c>
      <c r="O34" s="238"/>
    </row>
    <row r="35" spans="5:15" ht="18">
      <c r="I35" s="45" t="s">
        <v>384</v>
      </c>
      <c r="J35" s="23" t="s">
        <v>132</v>
      </c>
      <c r="K35" s="23" t="s">
        <v>166</v>
      </c>
      <c r="L35" s="47">
        <f>CM!E96</f>
        <v>412.91980729110719</v>
      </c>
      <c r="M35" s="47">
        <f>CM!F96</f>
        <v>412.91980729110719</v>
      </c>
      <c r="N35" s="47">
        <f>CM!G96</f>
        <v>413.47461804082894</v>
      </c>
      <c r="O35" s="48">
        <f>CM!H96</f>
        <v>413.47461804082894</v>
      </c>
    </row>
    <row r="36" spans="5:15" ht="18">
      <c r="E36"/>
      <c r="I36" s="45" t="s">
        <v>78</v>
      </c>
      <c r="J36" s="23" t="s">
        <v>133</v>
      </c>
      <c r="K36" s="23" t="s">
        <v>166</v>
      </c>
      <c r="L36" s="47">
        <f>CM!E102</f>
        <v>425.87000579510067</v>
      </c>
      <c r="M36" s="47">
        <f>CM!F102</f>
        <v>428.80938366139628</v>
      </c>
      <c r="N36" s="47">
        <f>CM!G102</f>
        <v>426.50010489904463</v>
      </c>
      <c r="O36" s="48">
        <f>CM!H102</f>
        <v>429.45480632294795</v>
      </c>
    </row>
    <row r="37" spans="5:15" ht="18">
      <c r="I37" s="45" t="s">
        <v>306</v>
      </c>
      <c r="J37" s="23" t="s">
        <v>307</v>
      </c>
      <c r="K37" s="23" t="s">
        <v>166</v>
      </c>
      <c r="L37" s="237">
        <f>CM!E104</f>
        <v>720</v>
      </c>
      <c r="M37" s="237"/>
      <c r="N37" s="237"/>
      <c r="O37" s="238"/>
    </row>
    <row r="38" spans="5:15" ht="15.75" thickBot="1">
      <c r="I38" s="137" t="s">
        <v>179</v>
      </c>
      <c r="J38" s="30" t="s">
        <v>145</v>
      </c>
      <c r="K38" s="30" t="s">
        <v>162</v>
      </c>
      <c r="L38" s="60">
        <f>CM!E111</f>
        <v>0.47653378971000215</v>
      </c>
      <c r="M38" s="60">
        <f>CM!F111</f>
        <v>4.9979898021111246E-2</v>
      </c>
      <c r="N38" s="60">
        <f>CM!G111</f>
        <v>0.48212231887141499</v>
      </c>
      <c r="O38" s="61">
        <f>CM!H111</f>
        <v>5.1044338913032838E-2</v>
      </c>
    </row>
    <row r="41" spans="5:15">
      <c r="E41" s="8"/>
    </row>
    <row r="42" spans="5:15">
      <c r="E42" s="8"/>
    </row>
  </sheetData>
  <mergeCells count="33">
    <mergeCell ref="L9:M9"/>
    <mergeCell ref="N9:O9"/>
    <mergeCell ref="L22:O22"/>
    <mergeCell ref="L10:M10"/>
    <mergeCell ref="N10:O10"/>
    <mergeCell ref="L32:O32"/>
    <mergeCell ref="L12:O12"/>
    <mergeCell ref="L21:O21"/>
    <mergeCell ref="L11:O11"/>
    <mergeCell ref="L14:M14"/>
    <mergeCell ref="L13:O13"/>
    <mergeCell ref="L26:O26"/>
    <mergeCell ref="N34:O34"/>
    <mergeCell ref="N14:O14"/>
    <mergeCell ref="L16:O16"/>
    <mergeCell ref="L37:O37"/>
    <mergeCell ref="L33:M33"/>
    <mergeCell ref="N33:O33"/>
    <mergeCell ref="L17:O17"/>
    <mergeCell ref="L34:M34"/>
    <mergeCell ref="L27:O27"/>
    <mergeCell ref="L28:O28"/>
    <mergeCell ref="L29:O29"/>
    <mergeCell ref="L30:O30"/>
    <mergeCell ref="L31:O31"/>
    <mergeCell ref="L23:O23"/>
    <mergeCell ref="L24:O24"/>
    <mergeCell ref="L25:O25"/>
    <mergeCell ref="L4:O4"/>
    <mergeCell ref="L5:O5"/>
    <mergeCell ref="L6:O6"/>
    <mergeCell ref="L7:O7"/>
    <mergeCell ref="L8:O8"/>
  </mergeCells>
  <phoneticPr fontId="8" type="noConversion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83730D6F-5A89-4475-8B39-DC620450C4E9}">
          <x14:formula1>
            <xm:f>'q-Q'!$B$4:$B$6</xm:f>
          </x14:formula1>
          <xm:sqref>G8</xm:sqref>
        </x14:dataValidation>
        <x14:dataValidation type="list" allowBlank="1" showInputMessage="1" showErrorMessage="1" xr:uid="{D092604C-4404-4833-B281-78858384FEF0}">
          <x14:formula1>
            <xm:f>'l-q'!$E$3:$E$9</xm:f>
          </x14:formula1>
          <xm:sqref>G16</xm:sqref>
        </x14:dataValidation>
        <x14:dataValidation type="list" allowBlank="1" showInputMessage="1" showErrorMessage="1" xr:uid="{5B879E54-0313-4CF4-AE86-46D390412C5A}">
          <x14:formula1>
            <xm:f>'k-T'!$B$4:$B$6</xm:f>
          </x14:formula1>
          <xm:sqref>G14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1B82E-112E-4135-97A9-5F68D12056D1}">
  <dimension ref="B1:H49"/>
  <sheetViews>
    <sheetView zoomScaleNormal="100" workbookViewId="0">
      <selection activeCell="O17" sqref="O17"/>
    </sheetView>
  </sheetViews>
  <sheetFormatPr defaultRowHeight="15"/>
  <cols>
    <col min="1" max="1" width="3" customWidth="1"/>
    <col min="2" max="2" width="60.85546875" bestFit="1" customWidth="1"/>
    <col min="3" max="3" width="6.5703125" bestFit="1" customWidth="1"/>
    <col min="4" max="4" width="10" customWidth="1"/>
    <col min="5" max="5" width="8.7109375" bestFit="1" customWidth="1"/>
    <col min="6" max="6" width="10.5703125" customWidth="1"/>
    <col min="7" max="7" width="8.85546875" customWidth="1"/>
    <col min="8" max="8" width="14.85546875" bestFit="1" customWidth="1"/>
    <col min="9" max="9" width="3.42578125" customWidth="1"/>
  </cols>
  <sheetData>
    <row r="1" spans="2:8" ht="15.75" thickBot="1"/>
    <row r="2" spans="2:8" ht="15.75" thickBot="1">
      <c r="B2" s="81" t="str">
        <f>CM!B1</f>
        <v>Term</v>
      </c>
      <c r="C2" s="31" t="str">
        <f>CM!C1</f>
        <v>Symbol</v>
      </c>
      <c r="D2" s="31" t="str">
        <f>CM!D1</f>
        <v>Unit</v>
      </c>
      <c r="E2" s="31" t="str">
        <f>CM!E1</f>
        <v>AISI 304</v>
      </c>
      <c r="F2" s="31" t="str">
        <f>CM!F1</f>
        <v>Sanicro 38</v>
      </c>
      <c r="G2" s="31" t="str">
        <f>CM!G1</f>
        <v>AISI 304 max</v>
      </c>
      <c r="H2" s="32" t="str">
        <f>CM!H1</f>
        <v>Sanicro 38 max</v>
      </c>
    </row>
    <row r="3" spans="2:8" ht="18">
      <c r="B3" s="44" t="s">
        <v>40</v>
      </c>
      <c r="C3" s="37" t="s">
        <v>116</v>
      </c>
      <c r="D3" s="37" t="s">
        <v>153</v>
      </c>
      <c r="E3" s="251">
        <f>CM!E11</f>
        <v>13.526</v>
      </c>
      <c r="F3" s="251"/>
      <c r="G3" s="251"/>
      <c r="H3" s="252"/>
    </row>
    <row r="4" spans="2:8" ht="18">
      <c r="B4" s="45" t="s">
        <v>41</v>
      </c>
      <c r="C4" s="23" t="s">
        <v>117</v>
      </c>
      <c r="D4" s="23" t="s">
        <v>153</v>
      </c>
      <c r="E4" s="237">
        <f>CM!E12</f>
        <v>15.028</v>
      </c>
      <c r="F4" s="237"/>
      <c r="G4" s="237"/>
      <c r="H4" s="238"/>
    </row>
    <row r="5" spans="2:8" ht="18.75" thickBot="1">
      <c r="B5" s="137" t="s">
        <v>53</v>
      </c>
      <c r="C5" s="30" t="s">
        <v>115</v>
      </c>
      <c r="D5" s="30" t="s">
        <v>176</v>
      </c>
      <c r="E5" s="245">
        <f>CM!E13</f>
        <v>203.26872800000001</v>
      </c>
      <c r="F5" s="245"/>
      <c r="G5" s="245"/>
      <c r="H5" s="246"/>
    </row>
    <row r="6" spans="2:8">
      <c r="B6" s="44" t="s">
        <v>180</v>
      </c>
      <c r="C6" s="37" t="s">
        <v>48</v>
      </c>
      <c r="D6" s="37" t="s">
        <v>149</v>
      </c>
      <c r="E6" s="263">
        <f>CM!E2</f>
        <v>5000</v>
      </c>
      <c r="F6" s="263"/>
      <c r="G6" s="263"/>
      <c r="H6" s="264"/>
    </row>
    <row r="7" spans="2:8" ht="18">
      <c r="B7" s="45" t="s">
        <v>8</v>
      </c>
      <c r="C7" s="23" t="s">
        <v>194</v>
      </c>
      <c r="D7" s="23" t="s">
        <v>151</v>
      </c>
      <c r="E7" s="237">
        <f>CM!E7</f>
        <v>12.62</v>
      </c>
      <c r="F7" s="237"/>
      <c r="G7" s="237"/>
      <c r="H7" s="238"/>
    </row>
    <row r="8" spans="2:8" ht="18">
      <c r="B8" s="161" t="s">
        <v>9</v>
      </c>
      <c r="C8" s="93" t="s">
        <v>187</v>
      </c>
      <c r="D8" s="23" t="s">
        <v>152</v>
      </c>
      <c r="E8" s="237">
        <f>CM!E10</f>
        <v>730.32407407407402</v>
      </c>
      <c r="F8" s="237"/>
      <c r="G8" s="237"/>
      <c r="H8" s="238"/>
    </row>
    <row r="9" spans="2:8" ht="18.75" thickBot="1">
      <c r="B9" s="137" t="s">
        <v>84</v>
      </c>
      <c r="C9" s="30" t="s">
        <v>191</v>
      </c>
      <c r="D9" s="30" t="s">
        <v>164</v>
      </c>
      <c r="E9" s="259">
        <f>CM!E16</f>
        <v>3.5928993173710122</v>
      </c>
      <c r="F9" s="259"/>
      <c r="G9" s="259"/>
      <c r="H9" s="260"/>
    </row>
    <row r="10" spans="2:8" ht="18">
      <c r="B10" s="44" t="s">
        <v>338</v>
      </c>
      <c r="C10" s="37" t="s">
        <v>215</v>
      </c>
      <c r="D10" s="37" t="s">
        <v>153</v>
      </c>
      <c r="E10" s="251">
        <f>CM!E28</f>
        <v>1.89</v>
      </c>
      <c r="F10" s="251"/>
      <c r="G10" s="251"/>
      <c r="H10" s="252"/>
    </row>
    <row r="11" spans="2:8" ht="18">
      <c r="B11" s="45" t="s">
        <v>387</v>
      </c>
      <c r="C11" s="23" t="s">
        <v>114</v>
      </c>
      <c r="D11" s="23" t="s">
        <v>153</v>
      </c>
      <c r="E11" s="237">
        <f>CM!E29</f>
        <v>37.9</v>
      </c>
      <c r="F11" s="237"/>
      <c r="G11" s="237"/>
      <c r="H11" s="238"/>
    </row>
    <row r="12" spans="2:8" ht="18">
      <c r="B12" s="45" t="s">
        <v>29</v>
      </c>
      <c r="C12" s="23" t="s">
        <v>211</v>
      </c>
      <c r="D12" s="23" t="s">
        <v>154</v>
      </c>
      <c r="E12" s="261">
        <f>CM!E30</f>
        <v>4.9868073878627968E-2</v>
      </c>
      <c r="F12" s="261"/>
      <c r="G12" s="261"/>
      <c r="H12" s="262"/>
    </row>
    <row r="13" spans="2:8" ht="18">
      <c r="B13" s="45" t="s">
        <v>119</v>
      </c>
      <c r="C13" s="23" t="s">
        <v>118</v>
      </c>
      <c r="D13" s="112" t="s">
        <v>232</v>
      </c>
      <c r="E13" s="237">
        <f>CM!E38</f>
        <v>106.82376635717715</v>
      </c>
      <c r="F13" s="237"/>
      <c r="G13" s="237"/>
      <c r="H13" s="238"/>
    </row>
    <row r="14" spans="2:8" ht="18">
      <c r="B14" s="45" t="s">
        <v>72</v>
      </c>
      <c r="C14" s="23" t="s">
        <v>219</v>
      </c>
      <c r="D14" s="23" t="s">
        <v>154</v>
      </c>
      <c r="E14" s="261">
        <f>CM!E33</f>
        <v>1.5900659630606861</v>
      </c>
      <c r="F14" s="261"/>
      <c r="G14" s="261">
        <f>CM!G33</f>
        <v>1.6</v>
      </c>
      <c r="H14" s="262"/>
    </row>
    <row r="15" spans="2:8" ht="18.75" thickBot="1">
      <c r="B15" s="137" t="s">
        <v>2</v>
      </c>
      <c r="C15" s="30" t="s">
        <v>231</v>
      </c>
      <c r="D15" s="163" t="s">
        <v>232</v>
      </c>
      <c r="E15" s="259">
        <f>CM!E39</f>
        <v>169.85683493049461</v>
      </c>
      <c r="F15" s="259"/>
      <c r="G15" s="259">
        <f>CM!G39</f>
        <v>170.91802617148346</v>
      </c>
      <c r="H15" s="260"/>
    </row>
    <row r="16" spans="2:8" ht="18">
      <c r="B16" s="44" t="s">
        <v>47</v>
      </c>
      <c r="C16" s="37" t="s">
        <v>237</v>
      </c>
      <c r="D16" s="37" t="s">
        <v>148</v>
      </c>
      <c r="E16" s="251">
        <f>CM!E45</f>
        <v>6.5299999999999994</v>
      </c>
      <c r="F16" s="251"/>
      <c r="G16" s="251"/>
      <c r="H16" s="252"/>
    </row>
    <row r="17" spans="2:8" ht="18">
      <c r="B17" s="45" t="s">
        <v>20</v>
      </c>
      <c r="C17" s="49" t="s">
        <v>234</v>
      </c>
      <c r="D17" s="49" t="s">
        <v>148</v>
      </c>
      <c r="E17" s="237">
        <f>CM!E41</f>
        <v>63.5</v>
      </c>
      <c r="F17" s="237"/>
      <c r="G17" s="237"/>
      <c r="H17" s="238"/>
    </row>
    <row r="18" spans="2:8" ht="18">
      <c r="B18" s="45" t="s">
        <v>73</v>
      </c>
      <c r="C18" s="23" t="s">
        <v>120</v>
      </c>
      <c r="D18" s="23" t="s">
        <v>148</v>
      </c>
      <c r="E18" s="237">
        <f>CM!E55*10^3</f>
        <v>50.44</v>
      </c>
      <c r="F18" s="237"/>
      <c r="G18" s="237"/>
      <c r="H18" s="238"/>
    </row>
    <row r="19" spans="2:8" ht="18.75" thickBot="1">
      <c r="B19" s="137" t="s">
        <v>56</v>
      </c>
      <c r="C19" s="30" t="s">
        <v>121</v>
      </c>
      <c r="D19" s="30" t="s">
        <v>176</v>
      </c>
      <c r="E19" s="245">
        <f>CM!E56</f>
        <v>1.9982049807675422E-3</v>
      </c>
      <c r="F19" s="245"/>
      <c r="G19" s="245"/>
      <c r="H19" s="246"/>
    </row>
    <row r="20" spans="2:8">
      <c r="B20" s="44" t="s">
        <v>254</v>
      </c>
      <c r="C20" s="37" t="s">
        <v>10</v>
      </c>
      <c r="D20" s="37" t="s">
        <v>156</v>
      </c>
      <c r="E20" s="253">
        <f>CM!E65</f>
        <v>120</v>
      </c>
      <c r="F20" s="253"/>
      <c r="G20" s="253"/>
      <c r="H20" s="254"/>
    </row>
    <row r="21" spans="2:8" ht="18">
      <c r="B21" s="162" t="s">
        <v>339</v>
      </c>
      <c r="C21" s="23" t="s">
        <v>249</v>
      </c>
      <c r="D21" s="23" t="s">
        <v>155</v>
      </c>
      <c r="E21" s="237">
        <f>CM!E60</f>
        <v>2</v>
      </c>
      <c r="F21" s="237"/>
      <c r="G21" s="237"/>
      <c r="H21" s="238"/>
    </row>
    <row r="22" spans="2:8" ht="18">
      <c r="B22" s="45" t="s">
        <v>68</v>
      </c>
      <c r="C22" s="23" t="s">
        <v>123</v>
      </c>
      <c r="D22" s="23" t="s">
        <v>177</v>
      </c>
      <c r="E22" s="237">
        <f>CM!E72</f>
        <v>655.17999999999995</v>
      </c>
      <c r="F22" s="237"/>
      <c r="G22" s="237"/>
      <c r="H22" s="238"/>
    </row>
    <row r="23" spans="2:8" ht="18">
      <c r="B23" s="45" t="s">
        <v>69</v>
      </c>
      <c r="C23" s="23" t="s">
        <v>122</v>
      </c>
      <c r="D23" s="23" t="s">
        <v>160</v>
      </c>
      <c r="E23" s="237">
        <f>CM!E74</f>
        <v>2.6183678785985562</v>
      </c>
      <c r="F23" s="237"/>
      <c r="G23" s="237"/>
      <c r="H23" s="238"/>
    </row>
    <row r="24" spans="2:8" ht="18">
      <c r="B24" s="45" t="s">
        <v>113</v>
      </c>
      <c r="C24" s="23" t="s">
        <v>252</v>
      </c>
      <c r="D24" s="23" t="s">
        <v>154</v>
      </c>
      <c r="E24" s="255">
        <f>CM!E63</f>
        <v>0</v>
      </c>
      <c r="F24" s="255"/>
      <c r="G24" s="255"/>
      <c r="H24" s="256"/>
    </row>
    <row r="25" spans="2:8" ht="18">
      <c r="B25" s="45" t="s">
        <v>11</v>
      </c>
      <c r="C25" s="23" t="s">
        <v>253</v>
      </c>
      <c r="D25" s="23" t="s">
        <v>154</v>
      </c>
      <c r="E25" s="255">
        <f>CM!E64</f>
        <v>1</v>
      </c>
      <c r="F25" s="255"/>
      <c r="G25" s="255"/>
      <c r="H25" s="256"/>
    </row>
    <row r="26" spans="2:8" ht="18">
      <c r="B26" s="162" t="s">
        <v>277</v>
      </c>
      <c r="C26" s="23" t="s">
        <v>124</v>
      </c>
      <c r="D26" s="23" t="s">
        <v>155</v>
      </c>
      <c r="E26" s="237">
        <f>CM!E75</f>
        <v>2</v>
      </c>
      <c r="F26" s="237"/>
      <c r="G26" s="237"/>
      <c r="H26" s="238"/>
    </row>
    <row r="27" spans="2:8" ht="18">
      <c r="B27" s="45" t="s">
        <v>255</v>
      </c>
      <c r="C27" s="23" t="s">
        <v>125</v>
      </c>
      <c r="D27" s="23" t="s">
        <v>177</v>
      </c>
      <c r="E27" s="237">
        <f>CM!E67</f>
        <v>655.17999999999995</v>
      </c>
      <c r="F27" s="237"/>
      <c r="G27" s="237"/>
      <c r="H27" s="238"/>
    </row>
    <row r="28" spans="2:8" ht="18">
      <c r="B28" s="45" t="s">
        <v>256</v>
      </c>
      <c r="C28" s="23" t="s">
        <v>126</v>
      </c>
      <c r="D28" s="23" t="s">
        <v>157</v>
      </c>
      <c r="E28" s="257">
        <f>CM!E68</f>
        <v>7.6513000000000004E-5</v>
      </c>
      <c r="F28" s="257"/>
      <c r="G28" s="257"/>
      <c r="H28" s="258"/>
    </row>
    <row r="29" spans="2:8" ht="18">
      <c r="B29" s="45" t="s">
        <v>257</v>
      </c>
      <c r="C29" s="23" t="s">
        <v>127</v>
      </c>
      <c r="D29" s="23" t="s">
        <v>158</v>
      </c>
      <c r="E29" s="237">
        <f>CM!E69</f>
        <v>6809.1</v>
      </c>
      <c r="F29" s="237"/>
      <c r="G29" s="237"/>
      <c r="H29" s="238"/>
    </row>
    <row r="30" spans="2:8" ht="18">
      <c r="B30" s="45" t="s">
        <v>258</v>
      </c>
      <c r="C30" s="23" t="s">
        <v>128</v>
      </c>
      <c r="D30" s="23" t="s">
        <v>159</v>
      </c>
      <c r="E30" s="237">
        <f>CM!E70</f>
        <v>0.51166999999999996</v>
      </c>
      <c r="F30" s="237"/>
      <c r="G30" s="237"/>
      <c r="H30" s="238"/>
    </row>
    <row r="31" spans="2:8">
      <c r="B31" s="45" t="s">
        <v>62</v>
      </c>
      <c r="C31" s="23" t="s">
        <v>58</v>
      </c>
      <c r="D31" s="23"/>
      <c r="E31" s="237">
        <f>CM!E76</f>
        <v>863834.36017408792</v>
      </c>
      <c r="F31" s="237"/>
      <c r="G31" s="237"/>
      <c r="H31" s="238"/>
    </row>
    <row r="32" spans="2:8">
      <c r="B32" s="45" t="s">
        <v>63</v>
      </c>
      <c r="C32" s="23" t="s">
        <v>59</v>
      </c>
      <c r="D32" s="23"/>
      <c r="E32" s="237">
        <f>CM!E77</f>
        <v>1.0182044448570369</v>
      </c>
      <c r="F32" s="237"/>
      <c r="G32" s="237"/>
      <c r="H32" s="238"/>
    </row>
    <row r="33" spans="2:8">
      <c r="B33" s="45" t="s">
        <v>64</v>
      </c>
      <c r="C33" s="23" t="s">
        <v>60</v>
      </c>
      <c r="D33" s="23"/>
      <c r="E33" s="237">
        <f>CM!E78</f>
        <v>1300.1881729747251</v>
      </c>
      <c r="F33" s="237"/>
      <c r="G33" s="237"/>
      <c r="H33" s="238"/>
    </row>
    <row r="34" spans="2:8" ht="18" thickBot="1">
      <c r="B34" s="137" t="s">
        <v>65</v>
      </c>
      <c r="C34" s="30" t="s">
        <v>61</v>
      </c>
      <c r="D34" s="30" t="s">
        <v>178</v>
      </c>
      <c r="E34" s="245">
        <f>CM!E79</f>
        <v>13189.279985447611</v>
      </c>
      <c r="F34" s="245"/>
      <c r="G34" s="245"/>
      <c r="H34" s="246"/>
    </row>
    <row r="35" spans="2:8" ht="18">
      <c r="B35" s="44" t="s">
        <v>13</v>
      </c>
      <c r="C35" s="37" t="s">
        <v>280</v>
      </c>
      <c r="D35" s="37" t="s">
        <v>159</v>
      </c>
      <c r="E35" s="247">
        <f>CM!E85</f>
        <v>0.3</v>
      </c>
      <c r="F35" s="247"/>
      <c r="G35" s="247"/>
      <c r="H35" s="248"/>
    </row>
    <row r="36" spans="2:8" ht="18">
      <c r="B36" s="45" t="s">
        <v>21</v>
      </c>
      <c r="C36" s="23" t="s">
        <v>300</v>
      </c>
      <c r="D36" s="112" t="s">
        <v>159</v>
      </c>
      <c r="E36" s="237">
        <f>CM!E95</f>
        <v>44.225853537497578</v>
      </c>
      <c r="F36" s="237"/>
      <c r="G36" s="237">
        <f>CM!G95</f>
        <v>44.217584201258624</v>
      </c>
      <c r="H36" s="238"/>
    </row>
    <row r="37" spans="2:8" ht="18">
      <c r="B37" s="45" t="s">
        <v>74</v>
      </c>
      <c r="C37" s="23" t="s">
        <v>304</v>
      </c>
      <c r="D37" s="112" t="s">
        <v>159</v>
      </c>
      <c r="E37" s="47">
        <f>CM!E101</f>
        <v>21.641658816958763</v>
      </c>
      <c r="F37" s="47">
        <f>CM!F101</f>
        <v>17.638215840628956</v>
      </c>
      <c r="G37" s="47">
        <f>CM!G101</f>
        <v>21.650994412164351</v>
      </c>
      <c r="H37" s="48">
        <f>CM!H101</f>
        <v>17.647773493289016</v>
      </c>
    </row>
    <row r="38" spans="2:8" ht="18">
      <c r="B38" s="45" t="s">
        <v>75</v>
      </c>
      <c r="C38" s="23" t="s">
        <v>305</v>
      </c>
      <c r="D38" s="23" t="s">
        <v>159</v>
      </c>
      <c r="E38" s="237">
        <f>CM!E103</f>
        <v>0.6</v>
      </c>
      <c r="F38" s="237"/>
      <c r="G38" s="237"/>
      <c r="H38" s="238"/>
    </row>
    <row r="39" spans="2:8" ht="18">
      <c r="B39" s="45" t="s">
        <v>104</v>
      </c>
      <c r="C39" s="23" t="s">
        <v>281</v>
      </c>
      <c r="D39" s="23" t="s">
        <v>161</v>
      </c>
      <c r="E39" s="249">
        <f>CM!E86</f>
        <v>100</v>
      </c>
      <c r="F39" s="249"/>
      <c r="G39" s="249"/>
      <c r="H39" s="250"/>
    </row>
    <row r="40" spans="2:8" ht="18">
      <c r="B40" s="45" t="s">
        <v>101</v>
      </c>
      <c r="C40" s="23" t="s">
        <v>243</v>
      </c>
      <c r="D40" s="23" t="s">
        <v>148</v>
      </c>
      <c r="E40" s="47">
        <f>CM!E54</f>
        <v>4.879999999999999</v>
      </c>
      <c r="F40" s="47">
        <f>CM!F54</f>
        <v>4.879999999999999</v>
      </c>
      <c r="G40" s="47">
        <f>CM!G54</f>
        <v>4.879999999999999</v>
      </c>
      <c r="H40" s="48">
        <f>CM!H54</f>
        <v>4.879999999999999</v>
      </c>
    </row>
    <row r="41" spans="2:8" ht="18">
      <c r="B41" s="45" t="s">
        <v>112</v>
      </c>
      <c r="C41" s="23" t="s">
        <v>240</v>
      </c>
      <c r="D41" s="49" t="s">
        <v>148</v>
      </c>
      <c r="E41" s="47">
        <f>CM!E49</f>
        <v>1.65</v>
      </c>
      <c r="F41" s="47">
        <f>CM!F49</f>
        <v>1.65</v>
      </c>
      <c r="G41" s="47">
        <f>CM!G49</f>
        <v>1.65</v>
      </c>
      <c r="H41" s="48">
        <f>CM!H49</f>
        <v>1.65</v>
      </c>
    </row>
    <row r="42" spans="2:8" ht="18.75" thickBot="1">
      <c r="B42" s="137" t="s">
        <v>308</v>
      </c>
      <c r="C42" s="30" t="s">
        <v>134</v>
      </c>
      <c r="D42" s="30" t="s">
        <v>148</v>
      </c>
      <c r="E42" s="58">
        <f>CM!E105</f>
        <v>1.0389808369804747</v>
      </c>
      <c r="F42" s="58">
        <f>CM!F105</f>
        <v>1.0285978181252189</v>
      </c>
      <c r="G42" s="58">
        <f>CM!G105</f>
        <v>1.0303181063177662</v>
      </c>
      <c r="H42" s="59">
        <f>CM!H105</f>
        <v>1.0199457606146669</v>
      </c>
    </row>
    <row r="43" spans="2:8" ht="18">
      <c r="B43" s="44" t="s">
        <v>259</v>
      </c>
      <c r="C43" s="37" t="s">
        <v>130</v>
      </c>
      <c r="D43" s="37" t="s">
        <v>166</v>
      </c>
      <c r="E43" s="251">
        <f>CM!E71</f>
        <v>324.68</v>
      </c>
      <c r="F43" s="251"/>
      <c r="G43" s="251"/>
      <c r="H43" s="252"/>
    </row>
    <row r="44" spans="2:8" ht="18">
      <c r="B44" s="45" t="s">
        <v>76</v>
      </c>
      <c r="C44" s="23" t="s">
        <v>129</v>
      </c>
      <c r="D44" s="23" t="s">
        <v>166</v>
      </c>
      <c r="E44" s="237">
        <f>CM!E80</f>
        <v>337.55840087691718</v>
      </c>
      <c r="F44" s="237"/>
      <c r="G44" s="237">
        <f>CM!G80</f>
        <v>337.63885949498882</v>
      </c>
      <c r="H44" s="238"/>
    </row>
    <row r="45" spans="2:8" ht="18">
      <c r="B45" s="45" t="s">
        <v>385</v>
      </c>
      <c r="C45" s="23" t="s">
        <v>131</v>
      </c>
      <c r="D45" s="23" t="s">
        <v>166</v>
      </c>
      <c r="E45" s="237">
        <f>CM!E89</f>
        <v>394.1773458537487</v>
      </c>
      <c r="F45" s="237"/>
      <c r="G45" s="237">
        <f>CM!G89</f>
        <v>394.61153488548331</v>
      </c>
      <c r="H45" s="238"/>
    </row>
    <row r="46" spans="2:8" ht="18">
      <c r="B46" s="45" t="s">
        <v>384</v>
      </c>
      <c r="C46" s="23" t="s">
        <v>132</v>
      </c>
      <c r="D46" s="23" t="s">
        <v>166</v>
      </c>
      <c r="E46" s="47">
        <f>CM!E96</f>
        <v>412.91980729110719</v>
      </c>
      <c r="F46" s="47">
        <f>CM!F96</f>
        <v>412.91980729110719</v>
      </c>
      <c r="G46" s="47">
        <f>CM!G96</f>
        <v>413.47461804082894</v>
      </c>
      <c r="H46" s="48">
        <f>CM!H96</f>
        <v>413.47461804082894</v>
      </c>
    </row>
    <row r="47" spans="2:8" ht="18">
      <c r="B47" s="45" t="s">
        <v>78</v>
      </c>
      <c r="C47" s="23" t="s">
        <v>133</v>
      </c>
      <c r="D47" s="23" t="s">
        <v>166</v>
      </c>
      <c r="E47" s="70">
        <f>CM!E102</f>
        <v>425.87000579510067</v>
      </c>
      <c r="F47" s="70">
        <f>CM!F102</f>
        <v>428.80938366139628</v>
      </c>
      <c r="G47" s="70">
        <f>CM!G102</f>
        <v>426.50010489904463</v>
      </c>
      <c r="H47" s="38">
        <f>CM!H102</f>
        <v>429.45480632294795</v>
      </c>
    </row>
    <row r="48" spans="2:8" ht="18.75" thickBot="1">
      <c r="B48" s="137" t="s">
        <v>110</v>
      </c>
      <c r="C48" s="30" t="s">
        <v>307</v>
      </c>
      <c r="D48" s="30" t="s">
        <v>166</v>
      </c>
      <c r="E48" s="245">
        <f>CM!E104</f>
        <v>720</v>
      </c>
      <c r="F48" s="245"/>
      <c r="G48" s="245"/>
      <c r="H48" s="246"/>
    </row>
    <row r="49" spans="2:8" ht="15.75" thickBot="1">
      <c r="B49" s="164" t="s">
        <v>179</v>
      </c>
      <c r="C49" s="33" t="s">
        <v>145</v>
      </c>
      <c r="D49" s="33" t="s">
        <v>162</v>
      </c>
      <c r="E49" s="165">
        <f>CM!E111</f>
        <v>0.47653378971000215</v>
      </c>
      <c r="F49" s="165">
        <f>CM!F111</f>
        <v>4.9979898021111246E-2</v>
      </c>
      <c r="G49" s="165">
        <f>CM!G111</f>
        <v>0.48212231887141499</v>
      </c>
      <c r="H49" s="166">
        <f>CM!H111</f>
        <v>5.1044338913032838E-2</v>
      </c>
    </row>
  </sheetData>
  <mergeCells count="45">
    <mergeCell ref="E8:H8"/>
    <mergeCell ref="E3:H3"/>
    <mergeCell ref="E4:H4"/>
    <mergeCell ref="E5:H5"/>
    <mergeCell ref="E6:H6"/>
    <mergeCell ref="E7:H7"/>
    <mergeCell ref="E19:H19"/>
    <mergeCell ref="E9:H9"/>
    <mergeCell ref="E10:H10"/>
    <mergeCell ref="E11:H11"/>
    <mergeCell ref="E12:H12"/>
    <mergeCell ref="E13:H13"/>
    <mergeCell ref="E14:F14"/>
    <mergeCell ref="G14:H14"/>
    <mergeCell ref="E15:F15"/>
    <mergeCell ref="G15:H15"/>
    <mergeCell ref="E16:H16"/>
    <mergeCell ref="E17:H17"/>
    <mergeCell ref="E18:H18"/>
    <mergeCell ref="E31:H31"/>
    <mergeCell ref="E20:H20"/>
    <mergeCell ref="E21:H21"/>
    <mergeCell ref="E22:H22"/>
    <mergeCell ref="E23:H23"/>
    <mergeCell ref="E24:H24"/>
    <mergeCell ref="E25:H25"/>
    <mergeCell ref="E26:H26"/>
    <mergeCell ref="E27:H27"/>
    <mergeCell ref="E28:H28"/>
    <mergeCell ref="E29:H29"/>
    <mergeCell ref="E30:H30"/>
    <mergeCell ref="E48:H48"/>
    <mergeCell ref="E45:F45"/>
    <mergeCell ref="G45:H45"/>
    <mergeCell ref="E32:H32"/>
    <mergeCell ref="E33:H33"/>
    <mergeCell ref="E34:H34"/>
    <mergeCell ref="E35:H35"/>
    <mergeCell ref="E36:F36"/>
    <mergeCell ref="G36:H36"/>
    <mergeCell ref="E38:H38"/>
    <mergeCell ref="E39:H39"/>
    <mergeCell ref="E43:H43"/>
    <mergeCell ref="E44:F44"/>
    <mergeCell ref="G44:H4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E8413-1E27-4BA1-99B9-C2B610F040FB}">
  <dimension ref="A1:I128"/>
  <sheetViews>
    <sheetView zoomScaleNormal="100" workbookViewId="0">
      <pane ySplit="1" topLeftCell="A5" activePane="bottomLeft" state="frozen"/>
      <selection pane="bottomLeft" activeCell="N22" sqref="N22"/>
    </sheetView>
  </sheetViews>
  <sheetFormatPr defaultColWidth="9.140625" defaultRowHeight="15"/>
  <cols>
    <col min="1" max="1" width="3" customWidth="1"/>
    <col min="2" max="2" width="60.28515625" style="115" bestFit="1" customWidth="1"/>
    <col min="3" max="3" width="7.5703125" style="2" bestFit="1" customWidth="1"/>
    <col min="4" max="4" width="10" style="2" bestFit="1" customWidth="1"/>
    <col min="5" max="6" width="10.5703125" style="2" bestFit="1" customWidth="1"/>
    <col min="7" max="7" width="12" style="2" bestFit="1" customWidth="1"/>
    <col min="8" max="8" width="14.140625" style="2" bestFit="1" customWidth="1"/>
    <col min="9" max="9" width="3" customWidth="1"/>
    <col min="10" max="10" width="3.28515625" customWidth="1"/>
  </cols>
  <sheetData>
    <row r="1" spans="1:9">
      <c r="A1" s="281"/>
      <c r="B1" s="36" t="s">
        <v>0</v>
      </c>
      <c r="C1" s="23" t="s">
        <v>46</v>
      </c>
      <c r="D1" s="23" t="s">
        <v>1</v>
      </c>
      <c r="E1" s="23" t="s">
        <v>350</v>
      </c>
      <c r="F1" s="23" t="s">
        <v>171</v>
      </c>
      <c r="G1" s="23" t="s">
        <v>383</v>
      </c>
      <c r="H1" s="23" t="s">
        <v>184</v>
      </c>
      <c r="I1" s="280"/>
    </row>
    <row r="2" spans="1:9">
      <c r="A2" s="282"/>
      <c r="B2" s="36" t="s">
        <v>180</v>
      </c>
      <c r="C2" s="23" t="s">
        <v>48</v>
      </c>
      <c r="D2" s="23" t="s">
        <v>149</v>
      </c>
      <c r="E2" s="266">
        <f>'I &amp; O Exp'!E9</f>
        <v>5000</v>
      </c>
      <c r="F2" s="266"/>
      <c r="G2" s="266"/>
      <c r="H2" s="266"/>
      <c r="I2" s="280"/>
    </row>
    <row r="3" spans="1:9">
      <c r="A3" s="282"/>
      <c r="B3" s="36" t="str">
        <f>'I &amp; O Exp'!B9</f>
        <v>Boiler load / DS firing rate</v>
      </c>
      <c r="C3" s="23" t="str">
        <f>'I &amp; O Exp'!C9</f>
        <v>ṁDS</v>
      </c>
      <c r="D3" s="23" t="s">
        <v>150</v>
      </c>
      <c r="E3" s="249">
        <f>E2*(1000/86400)</f>
        <v>57.870370370370367</v>
      </c>
      <c r="F3" s="249"/>
      <c r="G3" s="249"/>
      <c r="H3" s="249"/>
      <c r="I3" s="280"/>
    </row>
    <row r="4" spans="1:9" ht="18">
      <c r="A4" s="282"/>
      <c r="B4" s="36" t="s">
        <v>66</v>
      </c>
      <c r="C4" s="23" t="s">
        <v>192</v>
      </c>
      <c r="D4" s="23" t="s">
        <v>151</v>
      </c>
      <c r="E4" s="268" t="str">
        <f>'I &amp; O Exp'!G8</f>
        <v>Hardwood 13 (MJ/(kgDS))</v>
      </c>
      <c r="F4" s="268"/>
      <c r="G4" s="268"/>
      <c r="H4" s="268"/>
      <c r="I4" s="280"/>
    </row>
    <row r="5" spans="1:9" ht="18">
      <c r="A5" s="282"/>
      <c r="B5" s="36" t="s">
        <v>66</v>
      </c>
      <c r="C5" s="23" t="s">
        <v>192</v>
      </c>
      <c r="D5" s="23" t="s">
        <v>151</v>
      </c>
      <c r="E5" s="265">
        <f>'q-Q'!C8</f>
        <v>13</v>
      </c>
      <c r="F5" s="265"/>
      <c r="G5" s="265"/>
      <c r="H5" s="265"/>
      <c r="I5" s="280"/>
    </row>
    <row r="6" spans="1:9" ht="18">
      <c r="A6" s="282"/>
      <c r="B6" s="36" t="s">
        <v>30</v>
      </c>
      <c r="C6" s="23" t="s">
        <v>193</v>
      </c>
      <c r="D6" s="23" t="s">
        <v>151</v>
      </c>
      <c r="E6" s="266">
        <f>'I &amp; O Exp'!E8</f>
        <v>12.62</v>
      </c>
      <c r="F6" s="266"/>
      <c r="G6" s="266"/>
      <c r="H6" s="266"/>
      <c r="I6" s="280"/>
    </row>
    <row r="7" spans="1:9" ht="18">
      <c r="A7" s="282"/>
      <c r="B7" s="36" t="s">
        <v>31</v>
      </c>
      <c r="C7" s="23" t="s">
        <v>194</v>
      </c>
      <c r="D7" s="23" t="s">
        <v>151</v>
      </c>
      <c r="E7" s="249">
        <f>IF(E6=0, E5, E6)</f>
        <v>12.62</v>
      </c>
      <c r="F7" s="249"/>
      <c r="G7" s="249"/>
      <c r="H7" s="249"/>
      <c r="I7" s="280"/>
    </row>
    <row r="8" spans="1:9" ht="18">
      <c r="A8" s="282"/>
      <c r="B8" s="36" t="s">
        <v>181</v>
      </c>
      <c r="C8" s="23" t="s">
        <v>185</v>
      </c>
      <c r="D8" s="23" t="s">
        <v>152</v>
      </c>
      <c r="E8" s="249">
        <f>E3*E7</f>
        <v>730.32407407407402</v>
      </c>
      <c r="F8" s="249"/>
      <c r="G8" s="249"/>
      <c r="H8" s="249"/>
      <c r="I8" s="280"/>
    </row>
    <row r="9" spans="1:9" ht="18">
      <c r="A9" s="282"/>
      <c r="B9" s="36" t="s">
        <v>182</v>
      </c>
      <c r="C9" s="93" t="s">
        <v>186</v>
      </c>
      <c r="D9" s="23" t="s">
        <v>152</v>
      </c>
      <c r="E9" s="270">
        <f>'I &amp; O Exp'!E19</f>
        <v>0</v>
      </c>
      <c r="F9" s="270"/>
      <c r="G9" s="270"/>
      <c r="H9" s="270"/>
      <c r="I9" s="280"/>
    </row>
    <row r="10" spans="1:9" ht="18">
      <c r="A10" s="282"/>
      <c r="B10" s="114" t="s">
        <v>183</v>
      </c>
      <c r="C10" s="93" t="s">
        <v>187</v>
      </c>
      <c r="D10" s="23" t="s">
        <v>152</v>
      </c>
      <c r="E10" s="271">
        <f>IF(E9&lt;&gt;0, E9, E8)</f>
        <v>730.32407407407402</v>
      </c>
      <c r="F10" s="271"/>
      <c r="G10" s="271"/>
      <c r="H10" s="271"/>
      <c r="I10" s="280"/>
    </row>
    <row r="11" spans="1:9" ht="18">
      <c r="A11" s="282"/>
      <c r="B11" s="36" t="s">
        <v>40</v>
      </c>
      <c r="C11" s="23" t="s">
        <v>116</v>
      </c>
      <c r="D11" s="23" t="s">
        <v>153</v>
      </c>
      <c r="E11" s="266">
        <f>'I &amp; O Exp'!E5</f>
        <v>13.526</v>
      </c>
      <c r="F11" s="266"/>
      <c r="G11" s="266"/>
      <c r="H11" s="266"/>
      <c r="I11" s="280"/>
    </row>
    <row r="12" spans="1:9" ht="18">
      <c r="A12" s="282"/>
      <c r="B12" s="36" t="s">
        <v>41</v>
      </c>
      <c r="C12" s="23" t="s">
        <v>117</v>
      </c>
      <c r="D12" s="23" t="s">
        <v>153</v>
      </c>
      <c r="E12" s="266">
        <f>'I &amp; O Exp'!E6</f>
        <v>15.028</v>
      </c>
      <c r="F12" s="266"/>
      <c r="G12" s="266"/>
      <c r="H12" s="266"/>
      <c r="I12" s="280"/>
    </row>
    <row r="13" spans="1:9" ht="18">
      <c r="A13" s="282"/>
      <c r="B13" s="36" t="s">
        <v>53</v>
      </c>
      <c r="C13" s="23" t="s">
        <v>115</v>
      </c>
      <c r="D13" s="23" t="s">
        <v>176</v>
      </c>
      <c r="E13" s="249">
        <f>E11*E12</f>
        <v>203.26872800000001</v>
      </c>
      <c r="F13" s="249"/>
      <c r="G13" s="249"/>
      <c r="H13" s="249"/>
      <c r="I13" s="280"/>
    </row>
    <row r="14" spans="1:9" ht="18">
      <c r="A14" s="282"/>
      <c r="B14" s="36" t="s">
        <v>188</v>
      </c>
      <c r="C14" s="23" t="s">
        <v>189</v>
      </c>
      <c r="D14" s="23" t="s">
        <v>164</v>
      </c>
      <c r="E14" s="249">
        <f>E8/E13</f>
        <v>3.5928993173710122</v>
      </c>
      <c r="F14" s="249"/>
      <c r="G14" s="249"/>
      <c r="H14" s="249"/>
      <c r="I14" s="280"/>
    </row>
    <row r="15" spans="1:9" ht="18">
      <c r="A15" s="282"/>
      <c r="B15" s="36" t="s">
        <v>143</v>
      </c>
      <c r="C15" s="23" t="s">
        <v>190</v>
      </c>
      <c r="D15" s="23" t="s">
        <v>164</v>
      </c>
      <c r="E15" s="285">
        <f>'I &amp; O Exp'!E20</f>
        <v>0</v>
      </c>
      <c r="F15" s="285"/>
      <c r="G15" s="285"/>
      <c r="H15" s="285"/>
      <c r="I15" s="280"/>
    </row>
    <row r="16" spans="1:9" ht="18">
      <c r="A16" s="282"/>
      <c r="B16" s="36" t="s">
        <v>144</v>
      </c>
      <c r="C16" s="23" t="s">
        <v>191</v>
      </c>
      <c r="D16" s="23" t="s">
        <v>164</v>
      </c>
      <c r="E16" s="286">
        <f>IF(E15&lt;&gt;0, E15, E14)</f>
        <v>3.5928993173710122</v>
      </c>
      <c r="F16" s="286"/>
      <c r="G16" s="286"/>
      <c r="H16" s="286"/>
      <c r="I16" s="280"/>
    </row>
    <row r="17" spans="1:9">
      <c r="A17" s="282"/>
      <c r="B17" s="284"/>
      <c r="C17" s="284"/>
      <c r="D17" s="284"/>
      <c r="E17" s="284"/>
      <c r="F17" s="284"/>
      <c r="G17" s="284"/>
      <c r="H17" s="284"/>
      <c r="I17" s="280"/>
    </row>
    <row r="18" spans="1:9" ht="18">
      <c r="A18" s="282"/>
      <c r="B18" s="36" t="str">
        <f>'q-Q'!I3</f>
        <v>Equation parameter heat flux a</v>
      </c>
      <c r="C18" s="23" t="s">
        <v>200</v>
      </c>
      <c r="D18" s="23"/>
      <c r="E18" s="265">
        <f>'q-Q'!K3</f>
        <v>30.514706</v>
      </c>
      <c r="F18" s="265"/>
      <c r="G18" s="265">
        <f>'q-Q'!L3</f>
        <v>48.823529000000001</v>
      </c>
      <c r="H18" s="265"/>
      <c r="I18" s="280"/>
    </row>
    <row r="19" spans="1:9" ht="18">
      <c r="A19" s="282"/>
      <c r="B19" s="36" t="str">
        <f>'q-Q'!I4</f>
        <v>Equation parameter heat flux b</v>
      </c>
      <c r="C19" s="23" t="s">
        <v>201</v>
      </c>
      <c r="D19" s="23"/>
      <c r="E19" s="265">
        <f>'q-Q'!K4</f>
        <v>-2.8125</v>
      </c>
      <c r="F19" s="265"/>
      <c r="G19" s="265">
        <f>'q-Q'!L4</f>
        <v>-4.5</v>
      </c>
      <c r="H19" s="265"/>
      <c r="I19" s="280"/>
    </row>
    <row r="20" spans="1:9" ht="18">
      <c r="A20" s="282"/>
      <c r="B20" s="36" t="s">
        <v>92</v>
      </c>
      <c r="C20" s="23" t="s">
        <v>202</v>
      </c>
      <c r="D20" s="112" t="s">
        <v>210</v>
      </c>
      <c r="E20" s="249">
        <f>(E18*E16+E19)*10^3</f>
        <v>106823.76635717714</v>
      </c>
      <c r="F20" s="249"/>
      <c r="G20" s="249">
        <f>(G18*E16+G19)*10^3</f>
        <v>170918.02401574381</v>
      </c>
      <c r="H20" s="249"/>
      <c r="I20" s="280"/>
    </row>
    <row r="21" spans="1:9" ht="18.75">
      <c r="A21" s="282"/>
      <c r="B21" s="36" t="s">
        <v>137</v>
      </c>
      <c r="C21" s="112" t="s">
        <v>203</v>
      </c>
      <c r="D21" s="112"/>
      <c r="E21" s="269">
        <v>1</v>
      </c>
      <c r="F21" s="269"/>
      <c r="G21" s="269"/>
      <c r="H21" s="269"/>
      <c r="I21" s="280"/>
    </row>
    <row r="22" spans="1:9" ht="18.75">
      <c r="A22" s="282"/>
      <c r="B22" s="36" t="s">
        <v>138</v>
      </c>
      <c r="C22" s="112" t="s">
        <v>204</v>
      </c>
      <c r="D22" s="112"/>
      <c r="E22" s="287">
        <f>'I &amp; O Exp'!E27</f>
        <v>0</v>
      </c>
      <c r="F22" s="287"/>
      <c r="G22" s="287"/>
      <c r="H22" s="287"/>
      <c r="I22" s="280"/>
    </row>
    <row r="23" spans="1:9" ht="18.75">
      <c r="A23" s="282"/>
      <c r="B23" s="36" t="s">
        <v>139</v>
      </c>
      <c r="C23" s="112" t="s">
        <v>205</v>
      </c>
      <c r="D23" s="112"/>
      <c r="E23" s="288">
        <f>IF(E22&lt;&gt;0, E22, E21)</f>
        <v>1</v>
      </c>
      <c r="F23" s="288"/>
      <c r="G23" s="288"/>
      <c r="H23" s="288"/>
      <c r="I23" s="280"/>
    </row>
    <row r="24" spans="1:9" ht="18">
      <c r="A24" s="282"/>
      <c r="B24" s="36" t="s">
        <v>136</v>
      </c>
      <c r="C24" s="23" t="s">
        <v>140</v>
      </c>
      <c r="D24" s="112" t="s">
        <v>210</v>
      </c>
      <c r="E24" s="249">
        <f>E20*E23</f>
        <v>106823.76635717714</v>
      </c>
      <c r="F24" s="249"/>
      <c r="G24" s="249">
        <f>G20*E23</f>
        <v>170918.02401574381</v>
      </c>
      <c r="H24" s="249"/>
      <c r="I24" s="280"/>
    </row>
    <row r="25" spans="1:9" ht="18">
      <c r="A25" s="282"/>
      <c r="B25" s="36" t="s">
        <v>217</v>
      </c>
      <c r="C25" s="23" t="s">
        <v>214</v>
      </c>
      <c r="D25" s="23" t="s">
        <v>154</v>
      </c>
      <c r="E25" s="266">
        <f>'I &amp; O Exp'!G16</f>
        <v>0</v>
      </c>
      <c r="F25" s="266"/>
      <c r="G25" s="266"/>
      <c r="H25" s="266"/>
      <c r="I25" s="280"/>
    </row>
    <row r="26" spans="1:9" ht="18">
      <c r="A26" s="282"/>
      <c r="B26" s="36" t="s">
        <v>213</v>
      </c>
      <c r="C26" s="23" t="s">
        <v>208</v>
      </c>
      <c r="D26" s="23" t="s">
        <v>154</v>
      </c>
      <c r="E26" s="276" t="str">
        <f>'l-q'!F11</f>
        <v>No Match</v>
      </c>
      <c r="F26" s="276"/>
      <c r="G26" s="276"/>
      <c r="H26" s="276"/>
      <c r="I26" s="280"/>
    </row>
    <row r="27" spans="1:9" ht="18">
      <c r="A27" s="282"/>
      <c r="B27" s="36" t="s">
        <v>67</v>
      </c>
      <c r="C27" s="23" t="s">
        <v>209</v>
      </c>
      <c r="D27" s="23" t="s">
        <v>154</v>
      </c>
      <c r="E27" s="276" t="str">
        <f>'l-q'!G11</f>
        <v>Out of Range</v>
      </c>
      <c r="F27" s="276"/>
      <c r="G27" s="276"/>
      <c r="H27" s="276"/>
      <c r="I27" s="280"/>
    </row>
    <row r="28" spans="1:9" ht="18">
      <c r="A28" s="282"/>
      <c r="B28" s="36" t="s">
        <v>216</v>
      </c>
      <c r="C28" s="23" t="s">
        <v>215</v>
      </c>
      <c r="D28" s="23" t="s">
        <v>153</v>
      </c>
      <c r="E28" s="266">
        <f>'I &amp; O Exp'!E16</f>
        <v>1.89</v>
      </c>
      <c r="F28" s="266"/>
      <c r="G28" s="266"/>
      <c r="H28" s="266"/>
      <c r="I28" s="280"/>
    </row>
    <row r="29" spans="1:9" ht="18">
      <c r="A29" s="282"/>
      <c r="B29" s="36" t="s">
        <v>386</v>
      </c>
      <c r="C29" s="23" t="s">
        <v>114</v>
      </c>
      <c r="D29" s="23" t="s">
        <v>153</v>
      </c>
      <c r="E29" s="266">
        <f>'I &amp; O Exp'!E4</f>
        <v>37.9</v>
      </c>
      <c r="F29" s="266"/>
      <c r="G29" s="266"/>
      <c r="H29" s="266"/>
      <c r="I29" s="280"/>
    </row>
    <row r="30" spans="1:9" ht="18">
      <c r="A30" s="282"/>
      <c r="B30" s="36" t="s">
        <v>212</v>
      </c>
      <c r="C30" s="23" t="s">
        <v>211</v>
      </c>
      <c r="D30" s="23" t="s">
        <v>154</v>
      </c>
      <c r="E30" s="267">
        <f>E28/E29</f>
        <v>4.9868073878627968E-2</v>
      </c>
      <c r="F30" s="267"/>
      <c r="G30" s="267"/>
      <c r="H30" s="267"/>
      <c r="I30" s="280"/>
    </row>
    <row r="31" spans="1:9">
      <c r="A31" s="282"/>
      <c r="B31" s="284"/>
      <c r="C31" s="284"/>
      <c r="D31" s="284"/>
      <c r="E31" s="284"/>
      <c r="F31" s="284"/>
      <c r="G31" s="284"/>
      <c r="H31" s="284"/>
      <c r="I31" s="280"/>
    </row>
    <row r="32" spans="1:9" ht="18">
      <c r="A32" s="282"/>
      <c r="B32" s="36" t="s">
        <v>51</v>
      </c>
      <c r="C32" s="23" t="s">
        <v>218</v>
      </c>
      <c r="D32" s="23" t="s">
        <v>154</v>
      </c>
      <c r="E32" s="289">
        <f>'l-q'!G14</f>
        <v>1.5900659630606861</v>
      </c>
      <c r="F32" s="289"/>
      <c r="G32" s="289">
        <f>'l-q'!G15</f>
        <v>1.6</v>
      </c>
      <c r="H32" s="289"/>
      <c r="I32" s="280"/>
    </row>
    <row r="33" spans="1:9" ht="18">
      <c r="A33" s="282"/>
      <c r="B33" s="36" t="s">
        <v>52</v>
      </c>
      <c r="C33" s="23" t="s">
        <v>219</v>
      </c>
      <c r="D33" s="23" t="s">
        <v>154</v>
      </c>
      <c r="E33" s="267">
        <f>IF(E28=0, E27, E32)</f>
        <v>1.5900659630606861</v>
      </c>
      <c r="F33" s="267"/>
      <c r="G33" s="267">
        <f>G32</f>
        <v>1.6</v>
      </c>
      <c r="H33" s="267"/>
      <c r="I33" s="280"/>
    </row>
    <row r="34" spans="1:9" ht="18">
      <c r="A34" s="282"/>
      <c r="B34" s="36" t="s">
        <v>87</v>
      </c>
      <c r="C34" s="23" t="s">
        <v>229</v>
      </c>
      <c r="D34" s="112" t="s">
        <v>210</v>
      </c>
      <c r="E34" s="249">
        <f>E33*E24</f>
        <v>169856.8349304946</v>
      </c>
      <c r="F34" s="249"/>
      <c r="G34" s="249">
        <f>G33*E24</f>
        <v>170918.02617148345</v>
      </c>
      <c r="H34" s="249"/>
      <c r="I34" s="280"/>
    </row>
    <row r="35" spans="1:9" ht="18">
      <c r="A35" s="282"/>
      <c r="B35" s="36" t="s">
        <v>32</v>
      </c>
      <c r="C35" s="23" t="s">
        <v>230</v>
      </c>
      <c r="D35" s="112" t="s">
        <v>232</v>
      </c>
      <c r="E35" s="266">
        <f>'I &amp; O Exp'!E21</f>
        <v>0</v>
      </c>
      <c r="F35" s="266"/>
      <c r="G35" s="266"/>
      <c r="H35" s="266"/>
      <c r="I35" s="280"/>
    </row>
    <row r="36" spans="1:9" ht="18">
      <c r="A36" s="282"/>
      <c r="B36" s="36" t="s">
        <v>88</v>
      </c>
      <c r="C36" s="23" t="s">
        <v>230</v>
      </c>
      <c r="D36" s="112" t="s">
        <v>210</v>
      </c>
      <c r="E36" s="249">
        <f>E35*10^3</f>
        <v>0</v>
      </c>
      <c r="F36" s="249"/>
      <c r="G36" s="249"/>
      <c r="H36" s="249"/>
      <c r="I36" s="280"/>
    </row>
    <row r="37" spans="1:9" ht="18">
      <c r="A37" s="282"/>
      <c r="B37" s="36" t="s">
        <v>12</v>
      </c>
      <c r="C37" s="23" t="s">
        <v>231</v>
      </c>
      <c r="D37" s="112" t="s">
        <v>210</v>
      </c>
      <c r="E37" s="249">
        <f>IF(E36&lt;&gt;0, E36, E34)</f>
        <v>169856.8349304946</v>
      </c>
      <c r="F37" s="249"/>
      <c r="G37" s="249">
        <f>G34</f>
        <v>170918.02617148345</v>
      </c>
      <c r="H37" s="275"/>
      <c r="I37" s="280"/>
    </row>
    <row r="38" spans="1:9" ht="18">
      <c r="A38" s="282"/>
      <c r="B38" s="36" t="s">
        <v>233</v>
      </c>
      <c r="C38" s="23" t="s">
        <v>118</v>
      </c>
      <c r="D38" s="112" t="s">
        <v>232</v>
      </c>
      <c r="E38" s="249">
        <f>E24*10^-3</f>
        <v>106.82376635717715</v>
      </c>
      <c r="F38" s="249"/>
      <c r="G38" s="249"/>
      <c r="H38" s="249"/>
      <c r="I38" s="280"/>
    </row>
    <row r="39" spans="1:9" ht="18">
      <c r="A39" s="282"/>
      <c r="B39" s="36" t="s">
        <v>89</v>
      </c>
      <c r="C39" s="23" t="s">
        <v>231</v>
      </c>
      <c r="D39" s="112" t="s">
        <v>232</v>
      </c>
      <c r="E39" s="249">
        <f>E37*10^-3</f>
        <v>169.85683493049461</v>
      </c>
      <c r="F39" s="249"/>
      <c r="G39" s="249">
        <f>G37*10^-3</f>
        <v>170.91802617148346</v>
      </c>
      <c r="H39" s="249"/>
      <c r="I39" s="280"/>
    </row>
    <row r="40" spans="1:9">
      <c r="A40" s="282"/>
      <c r="B40" s="284"/>
      <c r="C40" s="284"/>
      <c r="D40" s="284"/>
      <c r="E40" s="284"/>
      <c r="F40" s="284"/>
      <c r="G40" s="284"/>
      <c r="H40" s="284"/>
      <c r="I40" s="280"/>
    </row>
    <row r="41" spans="1:9" ht="18">
      <c r="A41" s="282"/>
      <c r="B41" s="36" t="s">
        <v>54</v>
      </c>
      <c r="C41" s="49" t="s">
        <v>234</v>
      </c>
      <c r="D41" s="49" t="s">
        <v>148</v>
      </c>
      <c r="E41" s="266">
        <f>'I &amp; O Exp'!E10</f>
        <v>63.5</v>
      </c>
      <c r="F41" s="266"/>
      <c r="G41" s="266"/>
      <c r="H41" s="266"/>
      <c r="I41" s="280"/>
    </row>
    <row r="42" spans="1:9" ht="18">
      <c r="A42" s="282"/>
      <c r="B42" s="36" t="s">
        <v>90</v>
      </c>
      <c r="C42" s="49" t="s">
        <v>234</v>
      </c>
      <c r="D42" s="23" t="s">
        <v>153</v>
      </c>
      <c r="E42" s="274">
        <f>E41*10^-3</f>
        <v>6.3500000000000001E-2</v>
      </c>
      <c r="F42" s="274"/>
      <c r="G42" s="274"/>
      <c r="H42" s="274"/>
      <c r="I42" s="280"/>
    </row>
    <row r="43" spans="1:9" ht="18">
      <c r="A43" s="282"/>
      <c r="B43" s="36" t="s">
        <v>91</v>
      </c>
      <c r="C43" s="23" t="s">
        <v>235</v>
      </c>
      <c r="D43" s="23" t="s">
        <v>153</v>
      </c>
      <c r="E43" s="257">
        <f>63.5*10^-3</f>
        <v>6.3500000000000001E-2</v>
      </c>
      <c r="F43" s="257"/>
      <c r="G43" s="257"/>
      <c r="H43" s="257"/>
      <c r="I43" s="280"/>
    </row>
    <row r="44" spans="1:9" ht="18">
      <c r="A44" s="282"/>
      <c r="B44" s="36" t="s">
        <v>33</v>
      </c>
      <c r="C44" s="23" t="s">
        <v>236</v>
      </c>
      <c r="D44" s="23" t="s">
        <v>153</v>
      </c>
      <c r="E44" s="274">
        <f>IF(E42&lt;&gt;0, E42, E43)</f>
        <v>6.3500000000000001E-2</v>
      </c>
      <c r="F44" s="274"/>
      <c r="G44" s="274"/>
      <c r="H44" s="274"/>
      <c r="I44" s="280"/>
    </row>
    <row r="45" spans="1:9" ht="18">
      <c r="A45" s="282"/>
      <c r="B45" s="36" t="s">
        <v>55</v>
      </c>
      <c r="C45" s="23" t="s">
        <v>237</v>
      </c>
      <c r="D45" s="23" t="s">
        <v>148</v>
      </c>
      <c r="E45" s="266">
        <f>'I &amp; O Exp'!E11</f>
        <v>6.5299999999999994</v>
      </c>
      <c r="F45" s="266"/>
      <c r="G45" s="266"/>
      <c r="H45" s="266"/>
      <c r="I45" s="280"/>
    </row>
    <row r="46" spans="1:9" ht="18">
      <c r="A46" s="282"/>
      <c r="B46" s="36" t="s">
        <v>93</v>
      </c>
      <c r="C46" s="23" t="s">
        <v>237</v>
      </c>
      <c r="D46" s="23" t="s">
        <v>153</v>
      </c>
      <c r="E46" s="274">
        <f>E45*10^-3</f>
        <v>6.5299999999999993E-3</v>
      </c>
      <c r="F46" s="274"/>
      <c r="G46" s="274"/>
      <c r="H46" s="274"/>
      <c r="I46" s="280"/>
    </row>
    <row r="47" spans="1:9" ht="18">
      <c r="A47" s="282"/>
      <c r="B47" s="36" t="s">
        <v>94</v>
      </c>
      <c r="C47" s="23" t="s">
        <v>238</v>
      </c>
      <c r="D47" s="23" t="s">
        <v>153</v>
      </c>
      <c r="E47" s="257">
        <v>6.5300000000000002E-3</v>
      </c>
      <c r="F47" s="257"/>
      <c r="G47" s="257"/>
      <c r="H47" s="257"/>
      <c r="I47" s="280"/>
    </row>
    <row r="48" spans="1:9" ht="18">
      <c r="A48" s="282"/>
      <c r="B48" s="36" t="s">
        <v>50</v>
      </c>
      <c r="C48" s="23" t="s">
        <v>239</v>
      </c>
      <c r="D48" s="23" t="s">
        <v>153</v>
      </c>
      <c r="E48" s="274">
        <f>IF(E46&lt;&gt;0, E46, E47)</f>
        <v>6.5299999999999993E-3</v>
      </c>
      <c r="F48" s="274"/>
      <c r="G48" s="274"/>
      <c r="H48" s="274"/>
      <c r="I48" s="280"/>
    </row>
    <row r="49" spans="1:9" ht="18">
      <c r="A49" s="282"/>
      <c r="B49" s="36" t="s">
        <v>95</v>
      </c>
      <c r="C49" s="23" t="s">
        <v>240</v>
      </c>
      <c r="D49" s="49" t="s">
        <v>148</v>
      </c>
      <c r="E49" s="73">
        <f>'I &amp; O Exp'!E12</f>
        <v>1.65</v>
      </c>
      <c r="F49" s="73">
        <f>'I &amp; O Exp'!E13</f>
        <v>1.65</v>
      </c>
      <c r="G49" s="73">
        <f>'I &amp; O Exp'!E12</f>
        <v>1.65</v>
      </c>
      <c r="H49" s="73">
        <f>'I &amp; O Exp'!E13</f>
        <v>1.65</v>
      </c>
      <c r="I49" s="280"/>
    </row>
    <row r="50" spans="1:9" ht="18">
      <c r="A50" s="282"/>
      <c r="B50" s="36" t="s">
        <v>96</v>
      </c>
      <c r="C50" s="23" t="s">
        <v>240</v>
      </c>
      <c r="D50" s="23" t="s">
        <v>153</v>
      </c>
      <c r="E50" s="74">
        <f>E49*10^-3</f>
        <v>1.65E-3</v>
      </c>
      <c r="F50" s="74">
        <f t="shared" ref="F50:H50" si="0">F49*10^-3</f>
        <v>1.65E-3</v>
      </c>
      <c r="G50" s="74">
        <f t="shared" si="0"/>
        <v>1.65E-3</v>
      </c>
      <c r="H50" s="74">
        <f t="shared" si="0"/>
        <v>1.65E-3</v>
      </c>
      <c r="I50" s="280"/>
    </row>
    <row r="51" spans="1:9" ht="18">
      <c r="A51" s="282"/>
      <c r="B51" s="36" t="s">
        <v>97</v>
      </c>
      <c r="C51" s="23" t="s">
        <v>241</v>
      </c>
      <c r="D51" s="23" t="s">
        <v>153</v>
      </c>
      <c r="E51" s="69">
        <f>1.65*10^-3</f>
        <v>1.65E-3</v>
      </c>
      <c r="F51" s="69">
        <f>1.82*10^-3</f>
        <v>1.82E-3</v>
      </c>
      <c r="G51" s="74">
        <f>E51</f>
        <v>1.65E-3</v>
      </c>
      <c r="H51" s="74">
        <f>F51</f>
        <v>1.82E-3</v>
      </c>
      <c r="I51" s="280"/>
    </row>
    <row r="52" spans="1:9" ht="18">
      <c r="A52" s="282"/>
      <c r="B52" s="36" t="s">
        <v>98</v>
      </c>
      <c r="C52" s="23" t="s">
        <v>242</v>
      </c>
      <c r="D52" s="23" t="s">
        <v>153</v>
      </c>
      <c r="E52" s="74">
        <f>IF(E50&lt;&gt;0, E50, E51)</f>
        <v>1.65E-3</v>
      </c>
      <c r="F52" s="74">
        <f>IF(F50&lt;&gt;0, F50, F51)</f>
        <v>1.65E-3</v>
      </c>
      <c r="G52" s="74">
        <f>IF(G50&lt;&gt;0, G50, G51)</f>
        <v>1.65E-3</v>
      </c>
      <c r="H52" s="74">
        <f>IF(H50&lt;&gt;0, H50, H51)</f>
        <v>1.65E-3</v>
      </c>
      <c r="I52" s="280"/>
    </row>
    <row r="53" spans="1:9" ht="18">
      <c r="A53" s="282"/>
      <c r="B53" s="36" t="s">
        <v>100</v>
      </c>
      <c r="C53" s="23" t="s">
        <v>243</v>
      </c>
      <c r="D53" s="23" t="s">
        <v>153</v>
      </c>
      <c r="E53" s="74">
        <f>$E$48-E52</f>
        <v>4.8799999999999989E-3</v>
      </c>
      <c r="F53" s="74">
        <f>$E$48-F52</f>
        <v>4.8799999999999989E-3</v>
      </c>
      <c r="G53" s="74">
        <f>$E$48-G52</f>
        <v>4.8799999999999989E-3</v>
      </c>
      <c r="H53" s="74">
        <f>$E$48-H52</f>
        <v>4.8799999999999989E-3</v>
      </c>
      <c r="I53" s="280"/>
    </row>
    <row r="54" spans="1:9" ht="18">
      <c r="A54" s="282"/>
      <c r="B54" s="36" t="s">
        <v>111</v>
      </c>
      <c r="C54" s="23" t="s">
        <v>243</v>
      </c>
      <c r="D54" s="23" t="s">
        <v>148</v>
      </c>
      <c r="E54" s="27">
        <f>E53*10^3</f>
        <v>4.879999999999999</v>
      </c>
      <c r="F54" s="27">
        <f>F53*10^3</f>
        <v>4.879999999999999</v>
      </c>
      <c r="G54" s="27">
        <f>G53*10^3</f>
        <v>4.879999999999999</v>
      </c>
      <c r="H54" s="27">
        <f t="shared" ref="H54" si="1">H53*10^3</f>
        <v>4.879999999999999</v>
      </c>
      <c r="I54" s="280"/>
    </row>
    <row r="55" spans="1:9" ht="18">
      <c r="A55" s="282"/>
      <c r="B55" s="36" t="s">
        <v>73</v>
      </c>
      <c r="C55" s="23" t="s">
        <v>120</v>
      </c>
      <c r="D55" s="23" t="s">
        <v>153</v>
      </c>
      <c r="E55" s="249">
        <f>E44-(2*E48)</f>
        <v>5.0439999999999999E-2</v>
      </c>
      <c r="F55" s="249"/>
      <c r="G55" s="249"/>
      <c r="H55" s="249"/>
      <c r="I55" s="280"/>
    </row>
    <row r="56" spans="1:9" ht="18">
      <c r="A56" s="282"/>
      <c r="B56" s="36" t="s">
        <v>56</v>
      </c>
      <c r="C56" s="23" t="s">
        <v>121</v>
      </c>
      <c r="D56" s="23" t="s">
        <v>176</v>
      </c>
      <c r="E56" s="249">
        <f>(PI()*(E55)^2)/4</f>
        <v>1.9982049807675422E-3</v>
      </c>
      <c r="F56" s="249"/>
      <c r="G56" s="249"/>
      <c r="H56" s="249"/>
      <c r="I56" s="280"/>
    </row>
    <row r="57" spans="1:9">
      <c r="A57" s="282"/>
      <c r="B57" s="284"/>
      <c r="C57" s="284"/>
      <c r="D57" s="284"/>
      <c r="E57" s="284"/>
      <c r="F57" s="284"/>
      <c r="G57" s="284"/>
      <c r="H57" s="284"/>
      <c r="I57" s="280"/>
    </row>
    <row r="58" spans="1:9" ht="18">
      <c r="A58" s="282"/>
      <c r="B58" s="116" t="s">
        <v>244</v>
      </c>
      <c r="C58" s="49" t="s">
        <v>247</v>
      </c>
      <c r="D58" s="49" t="s">
        <v>155</v>
      </c>
      <c r="E58" s="266">
        <f>'I &amp; O Exp'!E25</f>
        <v>0</v>
      </c>
      <c r="F58" s="266"/>
      <c r="G58" s="266"/>
      <c r="H58" s="266"/>
      <c r="I58" s="280"/>
    </row>
    <row r="59" spans="1:9" ht="18">
      <c r="A59" s="282"/>
      <c r="B59" s="116" t="s">
        <v>245</v>
      </c>
      <c r="C59" s="23" t="s">
        <v>248</v>
      </c>
      <c r="D59" s="23" t="s">
        <v>155</v>
      </c>
      <c r="E59" s="237">
        <v>2</v>
      </c>
      <c r="F59" s="237"/>
      <c r="G59" s="237"/>
      <c r="H59" s="237"/>
      <c r="I59" s="280"/>
    </row>
    <row r="60" spans="1:9" ht="18">
      <c r="A60" s="282"/>
      <c r="B60" s="116" t="s">
        <v>246</v>
      </c>
      <c r="C60" s="23" t="s">
        <v>249</v>
      </c>
      <c r="D60" s="23" t="s">
        <v>155</v>
      </c>
      <c r="E60" s="249">
        <f>IF(E58&lt;&gt;0,E58, E59)</f>
        <v>2</v>
      </c>
      <c r="F60" s="249"/>
      <c r="G60" s="249"/>
      <c r="H60" s="249"/>
      <c r="I60" s="280"/>
    </row>
    <row r="61" spans="1:9" ht="18">
      <c r="A61" s="282"/>
      <c r="B61" s="36" t="s">
        <v>141</v>
      </c>
      <c r="C61" s="23" t="s">
        <v>250</v>
      </c>
      <c r="D61" s="88" t="s">
        <v>154</v>
      </c>
      <c r="E61" s="272">
        <f>'I &amp; O Exp'!E26</f>
        <v>0</v>
      </c>
      <c r="F61" s="272"/>
      <c r="G61" s="272"/>
      <c r="H61" s="272"/>
      <c r="I61" s="280"/>
    </row>
    <row r="62" spans="1:9" ht="18">
      <c r="A62" s="282"/>
      <c r="B62" s="36" t="s">
        <v>142</v>
      </c>
      <c r="C62" s="23" t="s">
        <v>251</v>
      </c>
      <c r="D62" s="23" t="s">
        <v>154</v>
      </c>
      <c r="E62" s="273">
        <v>0</v>
      </c>
      <c r="F62" s="273"/>
      <c r="G62" s="273"/>
      <c r="H62" s="273"/>
      <c r="I62" s="280"/>
    </row>
    <row r="63" spans="1:9" ht="18">
      <c r="A63" s="282"/>
      <c r="B63" s="36" t="s">
        <v>57</v>
      </c>
      <c r="C63" s="23" t="s">
        <v>252</v>
      </c>
      <c r="D63" s="23" t="s">
        <v>154</v>
      </c>
      <c r="E63" s="267">
        <f>IF(E61=0, E62, E61)</f>
        <v>0</v>
      </c>
      <c r="F63" s="267"/>
      <c r="G63" s="267"/>
      <c r="H63" s="267"/>
      <c r="I63" s="280"/>
    </row>
    <row r="64" spans="1:9" ht="18">
      <c r="A64" s="282"/>
      <c r="B64" s="36" t="s">
        <v>34</v>
      </c>
      <c r="C64" s="23" t="s">
        <v>253</v>
      </c>
      <c r="D64" s="23" t="s">
        <v>154</v>
      </c>
      <c r="E64" s="267">
        <f>1-E63</f>
        <v>1</v>
      </c>
      <c r="F64" s="267"/>
      <c r="G64" s="267"/>
      <c r="H64" s="267"/>
      <c r="I64" s="280"/>
    </row>
    <row r="65" spans="1:9">
      <c r="A65" s="282"/>
      <c r="B65" s="36" t="s">
        <v>254</v>
      </c>
      <c r="C65" s="23" t="s">
        <v>10</v>
      </c>
      <c r="D65" s="23" t="s">
        <v>156</v>
      </c>
      <c r="E65" s="266">
        <f>'I &amp; O Exp'!E7</f>
        <v>120</v>
      </c>
      <c r="F65" s="266"/>
      <c r="G65" s="266"/>
      <c r="H65" s="266"/>
      <c r="I65" s="280"/>
    </row>
    <row r="66" spans="1:9">
      <c r="A66" s="282"/>
      <c r="B66" s="284"/>
      <c r="C66" s="284"/>
      <c r="D66" s="284"/>
      <c r="E66" s="284"/>
      <c r="F66" s="284"/>
      <c r="G66" s="284"/>
      <c r="H66" s="284"/>
      <c r="I66" s="280"/>
    </row>
    <row r="67" spans="1:9" ht="18">
      <c r="A67" s="282"/>
      <c r="B67" s="36" t="s">
        <v>255</v>
      </c>
      <c r="C67" s="23" t="s">
        <v>125</v>
      </c>
      <c r="D67" s="23" t="s">
        <v>177</v>
      </c>
      <c r="E67" s="277">
        <f>'l-v table'!D100</f>
        <v>655.17999999999995</v>
      </c>
      <c r="F67" s="277"/>
      <c r="G67" s="277"/>
      <c r="H67" s="277"/>
      <c r="I67" s="280"/>
    </row>
    <row r="68" spans="1:9" ht="15" customHeight="1">
      <c r="A68" s="282"/>
      <c r="B68" s="36" t="s">
        <v>256</v>
      </c>
      <c r="C68" s="23" t="s">
        <v>126</v>
      </c>
      <c r="D68" s="23" t="s">
        <v>157</v>
      </c>
      <c r="E68" s="278">
        <f>'l-v table'!E100</f>
        <v>7.6513000000000004E-5</v>
      </c>
      <c r="F68" s="278"/>
      <c r="G68" s="278"/>
      <c r="H68" s="278"/>
      <c r="I68" s="280"/>
    </row>
    <row r="69" spans="1:9" ht="15" customHeight="1">
      <c r="A69" s="282"/>
      <c r="B69" s="36" t="s">
        <v>257</v>
      </c>
      <c r="C69" s="23" t="s">
        <v>127</v>
      </c>
      <c r="D69" s="23" t="s">
        <v>158</v>
      </c>
      <c r="E69" s="277">
        <f>'l-v table'!F100</f>
        <v>6809.1</v>
      </c>
      <c r="F69" s="277"/>
      <c r="G69" s="277"/>
      <c r="H69" s="277"/>
      <c r="I69" s="280"/>
    </row>
    <row r="70" spans="1:9" ht="15" customHeight="1">
      <c r="A70" s="282"/>
      <c r="B70" s="36" t="s">
        <v>258</v>
      </c>
      <c r="C70" s="23" t="s">
        <v>128</v>
      </c>
      <c r="D70" s="23" t="s">
        <v>159</v>
      </c>
      <c r="E70" s="277">
        <f>'l-v table'!G100</f>
        <v>0.51166999999999996</v>
      </c>
      <c r="F70" s="277"/>
      <c r="G70" s="277"/>
      <c r="H70" s="277"/>
      <c r="I70" s="280"/>
    </row>
    <row r="71" spans="1:9" ht="18">
      <c r="A71" s="282"/>
      <c r="B71" s="36" t="s">
        <v>259</v>
      </c>
      <c r="C71" s="23" t="s">
        <v>130</v>
      </c>
      <c r="D71" s="23" t="s">
        <v>166</v>
      </c>
      <c r="E71" s="277">
        <f>'l-v table'!C100</f>
        <v>324.68</v>
      </c>
      <c r="F71" s="277"/>
      <c r="G71" s="277"/>
      <c r="H71" s="277"/>
      <c r="I71" s="280"/>
    </row>
    <row r="72" spans="1:9" ht="18">
      <c r="A72" s="282"/>
      <c r="B72" s="36" t="s">
        <v>68</v>
      </c>
      <c r="C72" s="23" t="s">
        <v>123</v>
      </c>
      <c r="D72" s="23" t="s">
        <v>177</v>
      </c>
      <c r="E72" s="277">
        <f>'l-v table'!D96</f>
        <v>655.17999999999995</v>
      </c>
      <c r="F72" s="277"/>
      <c r="G72" s="277"/>
      <c r="H72" s="277"/>
      <c r="I72" s="280"/>
    </row>
    <row r="73" spans="1:9">
      <c r="A73" s="282"/>
      <c r="B73" s="284"/>
      <c r="C73" s="284"/>
      <c r="D73" s="284"/>
      <c r="E73" s="284"/>
      <c r="F73" s="284"/>
      <c r="G73" s="284"/>
      <c r="H73" s="284"/>
      <c r="I73" s="280"/>
    </row>
    <row r="74" spans="1:9" ht="18">
      <c r="A74" s="282"/>
      <c r="B74" s="36" t="s">
        <v>69</v>
      </c>
      <c r="C74" s="23" t="s">
        <v>122</v>
      </c>
      <c r="D74" s="23" t="s">
        <v>160</v>
      </c>
      <c r="E74" s="249">
        <f>E60*E56*E72</f>
        <v>2.6183678785985562</v>
      </c>
      <c r="F74" s="249"/>
      <c r="G74" s="249"/>
      <c r="H74" s="249"/>
      <c r="I74" s="280"/>
    </row>
    <row r="75" spans="1:9" ht="18">
      <c r="A75" s="282"/>
      <c r="B75" s="116" t="s">
        <v>277</v>
      </c>
      <c r="C75" s="23" t="s">
        <v>124</v>
      </c>
      <c r="D75" s="23" t="s">
        <v>155</v>
      </c>
      <c r="E75" s="249">
        <f>E74/(E67*E56)</f>
        <v>2</v>
      </c>
      <c r="F75" s="249"/>
      <c r="G75" s="249"/>
      <c r="H75" s="249"/>
      <c r="I75" s="280"/>
    </row>
    <row r="76" spans="1:9">
      <c r="A76" s="282"/>
      <c r="B76" s="36" t="s">
        <v>62</v>
      </c>
      <c r="C76" s="23" t="s">
        <v>58</v>
      </c>
      <c r="D76" s="23"/>
      <c r="E76" s="249">
        <f>E67*E75*E55/E68</f>
        <v>863834.36017408792</v>
      </c>
      <c r="F76" s="249"/>
      <c r="G76" s="249"/>
      <c r="H76" s="249"/>
      <c r="I76" s="280"/>
    </row>
    <row r="77" spans="1:9">
      <c r="A77" s="282"/>
      <c r="B77" s="36" t="s">
        <v>63</v>
      </c>
      <c r="C77" s="23" t="s">
        <v>59</v>
      </c>
      <c r="D77" s="23"/>
      <c r="E77" s="249">
        <f>E69*E68/E70</f>
        <v>1.0182044448570369</v>
      </c>
      <c r="F77" s="249"/>
      <c r="G77" s="249"/>
      <c r="H77" s="249"/>
      <c r="I77" s="280"/>
    </row>
    <row r="78" spans="1:9">
      <c r="A78" s="282"/>
      <c r="B78" s="36" t="s">
        <v>64</v>
      </c>
      <c r="C78" s="23" t="s">
        <v>60</v>
      </c>
      <c r="D78" s="23"/>
      <c r="E78" s="249">
        <f>0.023*(E76^0.8)*(E77^0.4)</f>
        <v>1300.1881729747251</v>
      </c>
      <c r="F78" s="249"/>
      <c r="G78" s="249"/>
      <c r="H78" s="249"/>
      <c r="I78" s="280"/>
    </row>
    <row r="79" spans="1:9" ht="17.25">
      <c r="A79" s="282"/>
      <c r="B79" s="36" t="s">
        <v>65</v>
      </c>
      <c r="C79" s="23" t="s">
        <v>61</v>
      </c>
      <c r="D79" s="23" t="s">
        <v>178</v>
      </c>
      <c r="E79" s="249">
        <f>E78*(E70/E55)</f>
        <v>13189.279985447611</v>
      </c>
      <c r="F79" s="249"/>
      <c r="G79" s="249"/>
      <c r="H79" s="249"/>
      <c r="I79" s="280"/>
    </row>
    <row r="80" spans="1:9" ht="18">
      <c r="A80" s="282"/>
      <c r="B80" s="36" t="s">
        <v>76</v>
      </c>
      <c r="C80" s="23" t="s">
        <v>129</v>
      </c>
      <c r="D80" s="23" t="s">
        <v>166</v>
      </c>
      <c r="E80" s="249">
        <f>E37/E79+E71</f>
        <v>337.55840087691718</v>
      </c>
      <c r="F80" s="249"/>
      <c r="G80" s="249">
        <f>G37/E79+E71</f>
        <v>337.63885949498882</v>
      </c>
      <c r="H80" s="249"/>
      <c r="I80" s="280"/>
    </row>
    <row r="81" spans="1:9">
      <c r="A81" s="282"/>
      <c r="B81" s="284"/>
      <c r="C81" s="284"/>
      <c r="D81" s="284"/>
      <c r="E81" s="284"/>
      <c r="F81" s="284"/>
      <c r="G81" s="284"/>
      <c r="H81" s="284"/>
      <c r="I81" s="280"/>
    </row>
    <row r="82" spans="1:9" ht="18">
      <c r="A82" s="282"/>
      <c r="B82" s="36" t="s">
        <v>35</v>
      </c>
      <c r="C82" s="23" t="s">
        <v>278</v>
      </c>
      <c r="D82" s="23" t="s">
        <v>159</v>
      </c>
      <c r="E82" s="268" t="str">
        <f>'I &amp; O Exp'!G14</f>
        <v>Iron and other impurities (0,3 W/mK)</v>
      </c>
      <c r="F82" s="268"/>
      <c r="G82" s="268"/>
      <c r="H82" s="268"/>
      <c r="I82" s="280"/>
    </row>
    <row r="83" spans="1:9" ht="18">
      <c r="A83" s="282"/>
      <c r="B83" s="36" t="s">
        <v>35</v>
      </c>
      <c r="C83" s="23" t="s">
        <v>278</v>
      </c>
      <c r="D83" s="23" t="s">
        <v>159</v>
      </c>
      <c r="E83" s="265">
        <f>'k-T'!C8</f>
        <v>0.3</v>
      </c>
      <c r="F83" s="265"/>
      <c r="G83" s="265"/>
      <c r="H83" s="265"/>
      <c r="I83" s="280"/>
    </row>
    <row r="84" spans="1:9" ht="18">
      <c r="A84" s="282"/>
      <c r="B84" s="36" t="s">
        <v>36</v>
      </c>
      <c r="C84" s="23" t="s">
        <v>279</v>
      </c>
      <c r="D84" s="23" t="s">
        <v>159</v>
      </c>
      <c r="E84" s="266">
        <f>'I &amp; O Exp'!E14</f>
        <v>0.3</v>
      </c>
      <c r="F84" s="266"/>
      <c r="G84" s="266"/>
      <c r="H84" s="266"/>
      <c r="I84" s="280"/>
    </row>
    <row r="85" spans="1:9" ht="18">
      <c r="A85" s="282"/>
      <c r="B85" s="36" t="s">
        <v>37</v>
      </c>
      <c r="C85" s="23" t="s">
        <v>280</v>
      </c>
      <c r="D85" s="23" t="s">
        <v>159</v>
      </c>
      <c r="E85" s="249">
        <f>IF(E84=0, E83, E84)</f>
        <v>0.3</v>
      </c>
      <c r="F85" s="249"/>
      <c r="G85" s="249"/>
      <c r="H85" s="249"/>
      <c r="I85" s="280"/>
    </row>
    <row r="86" spans="1:9" ht="18">
      <c r="A86" s="282"/>
      <c r="B86" s="36" t="s">
        <v>102</v>
      </c>
      <c r="C86" s="23" t="s">
        <v>281</v>
      </c>
      <c r="D86" s="23" t="s">
        <v>161</v>
      </c>
      <c r="E86" s="266">
        <f>'I &amp; O Exp'!E15</f>
        <v>100</v>
      </c>
      <c r="F86" s="266"/>
      <c r="G86" s="266"/>
      <c r="H86" s="266"/>
      <c r="I86" s="280"/>
    </row>
    <row r="87" spans="1:9" ht="18">
      <c r="A87" s="282"/>
      <c r="B87" s="36" t="s">
        <v>103</v>
      </c>
      <c r="C87" s="23" t="s">
        <v>282</v>
      </c>
      <c r="D87" s="23" t="s">
        <v>153</v>
      </c>
      <c r="E87" s="274">
        <f>E86*10^-6</f>
        <v>9.9999999999999991E-5</v>
      </c>
      <c r="F87" s="274"/>
      <c r="G87" s="274"/>
      <c r="H87" s="274"/>
      <c r="I87" s="280"/>
    </row>
    <row r="88" spans="1:9">
      <c r="A88" s="282"/>
      <c r="B88" s="284"/>
      <c r="C88" s="284"/>
      <c r="D88" s="284"/>
      <c r="E88" s="284"/>
      <c r="F88" s="284"/>
      <c r="G88" s="284"/>
      <c r="H88" s="284"/>
      <c r="I88" s="280"/>
    </row>
    <row r="89" spans="1:9" ht="18">
      <c r="A89" s="282"/>
      <c r="B89" s="36" t="s">
        <v>385</v>
      </c>
      <c r="C89" s="23" t="s">
        <v>131</v>
      </c>
      <c r="D89" s="23" t="s">
        <v>166</v>
      </c>
      <c r="E89" s="249">
        <f>E37*(E87/E85)+E80</f>
        <v>394.1773458537487</v>
      </c>
      <c r="F89" s="249"/>
      <c r="G89" s="249">
        <f>G37*E87/E85+G80</f>
        <v>394.61153488548331</v>
      </c>
      <c r="H89" s="249"/>
      <c r="I89" s="280"/>
    </row>
    <row r="90" spans="1:9" ht="18">
      <c r="A90" s="282"/>
      <c r="B90" s="1" t="s">
        <v>285</v>
      </c>
      <c r="C90" s="23" t="s">
        <v>290</v>
      </c>
      <c r="D90" s="23"/>
      <c r="E90" s="279">
        <f>'k-T'!E16</f>
        <v>-2.1428570000000001E-5</v>
      </c>
      <c r="F90" s="279"/>
      <c r="G90" s="279"/>
      <c r="H90" s="279"/>
      <c r="I90" s="280"/>
    </row>
    <row r="91" spans="1:9" ht="18">
      <c r="A91" s="282"/>
      <c r="B91" s="1" t="s">
        <v>286</v>
      </c>
      <c r="C91" s="23" t="s">
        <v>294</v>
      </c>
      <c r="D91" s="23"/>
      <c r="E91" s="279">
        <f>'k-T'!E17</f>
        <v>-2.1428570000000002E-3</v>
      </c>
      <c r="F91" s="279"/>
      <c r="G91" s="279"/>
      <c r="H91" s="279"/>
      <c r="I91" s="280"/>
    </row>
    <row r="92" spans="1:9" ht="18">
      <c r="A92" s="282"/>
      <c r="B92" s="1" t="s">
        <v>287</v>
      </c>
      <c r="C92" s="23" t="s">
        <v>295</v>
      </c>
      <c r="D92" s="23"/>
      <c r="E92" s="265">
        <f>'k-T'!E18</f>
        <v>48.4</v>
      </c>
      <c r="F92" s="265"/>
      <c r="G92" s="265"/>
      <c r="H92" s="265"/>
      <c r="I92" s="280"/>
    </row>
    <row r="93" spans="1:9" ht="18">
      <c r="A93" s="282"/>
      <c r="B93" s="36" t="s">
        <v>105</v>
      </c>
      <c r="C93" s="23" t="s">
        <v>298</v>
      </c>
      <c r="D93" s="112" t="s">
        <v>159</v>
      </c>
      <c r="E93" s="249">
        <f>E90*E89^2+E91*E89+E92</f>
        <v>44.225853537497578</v>
      </c>
      <c r="F93" s="249"/>
      <c r="G93" s="249">
        <f>E90*G89^2+E91*G89+E92</f>
        <v>44.217584201258624</v>
      </c>
      <c r="H93" s="249"/>
      <c r="I93" s="280"/>
    </row>
    <row r="94" spans="1:9" ht="18">
      <c r="A94" s="282"/>
      <c r="B94" s="36" t="s">
        <v>38</v>
      </c>
      <c r="C94" s="23" t="s">
        <v>299</v>
      </c>
      <c r="D94" s="112" t="s">
        <v>159</v>
      </c>
      <c r="E94" s="266">
        <f>'I &amp; O Exp'!E22</f>
        <v>0</v>
      </c>
      <c r="F94" s="266"/>
      <c r="G94" s="266"/>
      <c r="H94" s="266"/>
      <c r="I94" s="280"/>
    </row>
    <row r="95" spans="1:9" ht="18">
      <c r="A95" s="282"/>
      <c r="B95" s="36" t="s">
        <v>70</v>
      </c>
      <c r="C95" s="23" t="s">
        <v>300</v>
      </c>
      <c r="D95" s="112" t="s">
        <v>159</v>
      </c>
      <c r="E95" s="249">
        <f>IF(E94&lt;&gt;0,E94, E93)</f>
        <v>44.225853537497578</v>
      </c>
      <c r="F95" s="249"/>
      <c r="G95" s="249">
        <f>IF(E94&lt;&gt;0,E94, G93)</f>
        <v>44.217584201258624</v>
      </c>
      <c r="H95" s="249"/>
      <c r="I95" s="280"/>
    </row>
    <row r="96" spans="1:9" ht="18">
      <c r="A96" s="282"/>
      <c r="B96" s="36" t="s">
        <v>384</v>
      </c>
      <c r="C96" s="23" t="s">
        <v>132</v>
      </c>
      <c r="D96" s="23" t="s">
        <v>166</v>
      </c>
      <c r="E96" s="70">
        <f>E37*E53/E95+E89</f>
        <v>412.91980729110719</v>
      </c>
      <c r="F96" s="70">
        <f>E37*F53/E95+E89</f>
        <v>412.91980729110719</v>
      </c>
      <c r="G96" s="70">
        <f>G37*G53/G95+G89</f>
        <v>413.47461804082894</v>
      </c>
      <c r="H96" s="70">
        <f>G37*H53/G95+G89</f>
        <v>413.47461804082894</v>
      </c>
      <c r="I96" s="280"/>
    </row>
    <row r="97" spans="1:9" ht="18">
      <c r="A97" s="282"/>
      <c r="B97" s="36" t="s">
        <v>288</v>
      </c>
      <c r="C97" s="23" t="s">
        <v>291</v>
      </c>
      <c r="D97" s="23"/>
      <c r="E97" s="71">
        <f>'k-T'!E20</f>
        <v>1.6826629999999999E-2</v>
      </c>
      <c r="F97" s="71">
        <f>'k-T'!E23</f>
        <v>1.7226869999999998E-2</v>
      </c>
      <c r="G97" s="71">
        <f>'k-T'!E20</f>
        <v>1.6826629999999999E-2</v>
      </c>
      <c r="H97" s="71">
        <f>'k-T'!E23</f>
        <v>1.7226869999999998E-2</v>
      </c>
      <c r="I97" s="280"/>
    </row>
    <row r="98" spans="1:9" ht="18">
      <c r="A98" s="282"/>
      <c r="B98" s="36" t="s">
        <v>289</v>
      </c>
      <c r="C98" s="23" t="s">
        <v>301</v>
      </c>
      <c r="D98" s="23"/>
      <c r="E98" s="71">
        <f>'k-T'!E21</f>
        <v>14.69361</v>
      </c>
      <c r="F98" s="71">
        <f>'k-T'!E24</f>
        <v>10.524900000000001</v>
      </c>
      <c r="G98" s="71">
        <f>'k-T'!E21</f>
        <v>14.69361</v>
      </c>
      <c r="H98" s="71">
        <f>'k-T'!E24</f>
        <v>10.524900000000001</v>
      </c>
      <c r="I98" s="280"/>
    </row>
    <row r="99" spans="1:9" ht="18">
      <c r="A99" s="282"/>
      <c r="B99" s="36" t="s">
        <v>106</v>
      </c>
      <c r="C99" s="23" t="s">
        <v>302</v>
      </c>
      <c r="D99" s="112" t="s">
        <v>159</v>
      </c>
      <c r="E99" s="70">
        <f>E97*E96+E98</f>
        <v>21.641658816958763</v>
      </c>
      <c r="F99" s="70">
        <f>F97*F96+F98</f>
        <v>17.638215840628956</v>
      </c>
      <c r="G99" s="70">
        <f>G97*G96+G98</f>
        <v>21.650994412164351</v>
      </c>
      <c r="H99" s="70">
        <f>H97*H96+H98</f>
        <v>17.647773493289016</v>
      </c>
      <c r="I99" s="280"/>
    </row>
    <row r="100" spans="1:9" ht="18">
      <c r="A100" s="282"/>
      <c r="B100" s="36" t="s">
        <v>107</v>
      </c>
      <c r="C100" s="23" t="s">
        <v>303</v>
      </c>
      <c r="D100" s="112" t="s">
        <v>159</v>
      </c>
      <c r="E100" s="73">
        <f>'I &amp; O Exp'!E23</f>
        <v>0</v>
      </c>
      <c r="F100" s="73">
        <f>'I &amp; O Exp'!E24</f>
        <v>0</v>
      </c>
      <c r="G100" s="73">
        <f>'I &amp; O Exp'!E23</f>
        <v>0</v>
      </c>
      <c r="H100" s="73">
        <f>'I &amp; O Exp'!E24</f>
        <v>0</v>
      </c>
      <c r="I100" s="280"/>
    </row>
    <row r="101" spans="1:9" ht="18">
      <c r="A101" s="282"/>
      <c r="B101" s="36" t="s">
        <v>108</v>
      </c>
      <c r="C101" s="23" t="s">
        <v>304</v>
      </c>
      <c r="D101" s="112" t="s">
        <v>159</v>
      </c>
      <c r="E101" s="70">
        <f>IF(E100&lt;&gt;0,E100, E99)</f>
        <v>21.641658816958763</v>
      </c>
      <c r="F101" s="70">
        <f t="shared" ref="F101:H101" si="2">IF(F100&lt;&gt;0,F100, F99)</f>
        <v>17.638215840628956</v>
      </c>
      <c r="G101" s="70">
        <f t="shared" si="2"/>
        <v>21.650994412164351</v>
      </c>
      <c r="H101" s="70">
        <f t="shared" si="2"/>
        <v>17.647773493289016</v>
      </c>
      <c r="I101" s="280"/>
    </row>
    <row r="102" spans="1:9" ht="18">
      <c r="A102" s="282"/>
      <c r="B102" s="36" t="s">
        <v>78</v>
      </c>
      <c r="C102" s="23" t="s">
        <v>133</v>
      </c>
      <c r="D102" s="23" t="s">
        <v>166</v>
      </c>
      <c r="E102" s="24">
        <f>E37*E52/E101+E96</f>
        <v>425.87000579510067</v>
      </c>
      <c r="F102" s="24">
        <f>E37*F52/F101+F96</f>
        <v>428.80938366139628</v>
      </c>
      <c r="G102" s="24">
        <f>G37*G52/G101+G96</f>
        <v>426.50010489904463</v>
      </c>
      <c r="H102" s="24">
        <f>G37*H52/H101+H96</f>
        <v>429.45480632294795</v>
      </c>
      <c r="I102" s="280"/>
    </row>
    <row r="103" spans="1:9" ht="18">
      <c r="A103" s="282"/>
      <c r="B103" s="36" t="s">
        <v>109</v>
      </c>
      <c r="C103" s="23" t="s">
        <v>305</v>
      </c>
      <c r="D103" s="23" t="s">
        <v>159</v>
      </c>
      <c r="E103" s="237">
        <v>0.6</v>
      </c>
      <c r="F103" s="237"/>
      <c r="G103" s="237"/>
      <c r="H103" s="237"/>
      <c r="I103" s="280"/>
    </row>
    <row r="104" spans="1:9" ht="18">
      <c r="A104" s="282"/>
      <c r="B104" s="36" t="s">
        <v>306</v>
      </c>
      <c r="C104" s="23" t="s">
        <v>307</v>
      </c>
      <c r="D104" s="23" t="s">
        <v>166</v>
      </c>
      <c r="E104" s="237">
        <v>720</v>
      </c>
      <c r="F104" s="237"/>
      <c r="G104" s="237"/>
      <c r="H104" s="237"/>
      <c r="I104" s="280"/>
    </row>
    <row r="105" spans="1:9" ht="18">
      <c r="A105" s="282"/>
      <c r="B105" s="36" t="s">
        <v>308</v>
      </c>
      <c r="C105" s="23" t="s">
        <v>134</v>
      </c>
      <c r="D105" s="23" t="s">
        <v>148</v>
      </c>
      <c r="E105" s="70">
        <f>(E104-E102)*E103/E37*10^3</f>
        <v>1.0389808369804747</v>
      </c>
      <c r="F105" s="70">
        <f>(E104-F102)*E103/E37*10^3</f>
        <v>1.0285978181252189</v>
      </c>
      <c r="G105" s="70">
        <f>(E104-G102)*E103/G37*10^3</f>
        <v>1.0303181063177662</v>
      </c>
      <c r="H105" s="70">
        <f>(E104-H102)*E103/G37*10^3</f>
        <v>1.0199457606146669</v>
      </c>
      <c r="I105" s="280"/>
    </row>
    <row r="106" spans="1:9">
      <c r="A106" s="282"/>
      <c r="B106" s="284"/>
      <c r="C106" s="284"/>
      <c r="D106" s="284"/>
      <c r="E106" s="284"/>
      <c r="F106" s="284"/>
      <c r="G106" s="284"/>
      <c r="H106" s="284"/>
      <c r="I106" s="280"/>
    </row>
    <row r="107" spans="1:9" ht="18">
      <c r="A107" s="282"/>
      <c r="B107" s="36" t="s">
        <v>317</v>
      </c>
      <c r="C107" s="23" t="s">
        <v>320</v>
      </c>
      <c r="D107" s="23"/>
      <c r="E107" s="71">
        <f>'CR-T'!J3</f>
        <v>-9.7292289999999993E-6</v>
      </c>
      <c r="F107" s="71">
        <f>'CR-T'!K3</f>
        <v>1.3253959999999999E-5</v>
      </c>
      <c r="G107" s="71">
        <f>'CR-T'!J3</f>
        <v>-9.7292289999999993E-6</v>
      </c>
      <c r="H107" s="71">
        <f>'CR-T'!K3</f>
        <v>1.3253959999999999E-5</v>
      </c>
      <c r="I107" s="280"/>
    </row>
    <row r="108" spans="1:9" ht="18">
      <c r="A108" s="282"/>
      <c r="B108" s="36" t="s">
        <v>318</v>
      </c>
      <c r="C108" s="23" t="s">
        <v>321</v>
      </c>
      <c r="D108" s="23"/>
      <c r="E108" s="71">
        <f>'CR-T'!J4</f>
        <v>1.7162190000000001E-2</v>
      </c>
      <c r="F108" s="71">
        <f>'CR-T'!K4</f>
        <v>-9.7261840000000006E-3</v>
      </c>
      <c r="G108" s="71">
        <f>'CR-T'!J4</f>
        <v>1.7162190000000001E-2</v>
      </c>
      <c r="H108" s="71">
        <f>'CR-T'!K4</f>
        <v>-9.7261840000000006E-3</v>
      </c>
      <c r="I108" s="280"/>
    </row>
    <row r="109" spans="1:9" ht="18">
      <c r="A109" s="282"/>
      <c r="B109" s="36" t="s">
        <v>319</v>
      </c>
      <c r="C109" s="23" t="s">
        <v>322</v>
      </c>
      <c r="D109" s="23"/>
      <c r="E109" s="71">
        <f>'CR-T'!J5</f>
        <v>-5.0677839999999996</v>
      </c>
      <c r="F109" s="71">
        <f>'CR-T'!K5</f>
        <v>1.7835540000000001</v>
      </c>
      <c r="G109" s="71">
        <f>'CR-T'!J5</f>
        <v>-5.0677839999999996</v>
      </c>
      <c r="H109" s="71">
        <f>'CR-T'!K5</f>
        <v>1.7835540000000001</v>
      </c>
      <c r="I109" s="280"/>
    </row>
    <row r="110" spans="1:9" ht="18">
      <c r="A110" s="282"/>
      <c r="B110" s="36" t="s">
        <v>323</v>
      </c>
      <c r="C110" s="23" t="s">
        <v>324</v>
      </c>
      <c r="D110" s="23" t="s">
        <v>166</v>
      </c>
      <c r="E110" s="72">
        <f>'CR-T'!J7</f>
        <v>375.01374316026352</v>
      </c>
      <c r="F110" s="72">
        <f>'CR-T'!K7</f>
        <v>374.65122663348779</v>
      </c>
      <c r="G110" s="72">
        <f>'CR-T'!J7</f>
        <v>375.01374316026352</v>
      </c>
      <c r="H110" s="72">
        <f>'CR-T'!K7</f>
        <v>374.65122663348779</v>
      </c>
      <c r="I110" s="280"/>
    </row>
    <row r="111" spans="1:9">
      <c r="A111" s="282"/>
      <c r="B111" s="36" t="s">
        <v>179</v>
      </c>
      <c r="C111" s="23" t="s">
        <v>145</v>
      </c>
      <c r="D111" s="23" t="s">
        <v>162</v>
      </c>
      <c r="E111" s="24">
        <f>IF(
E102&lt;E110,0,
(E107*E102^2+E108*E102+E109)
)</f>
        <v>0.47653378971000215</v>
      </c>
      <c r="F111" s="24">
        <f>IF(
F102&lt;F110,0,
(F107*F102^2+F108*F102+F109)
)</f>
        <v>4.9979898021111246E-2</v>
      </c>
      <c r="G111" s="24">
        <f>IF(
G102&lt;G110,0,
(G107*G102^2+G108*G102+G109)
)</f>
        <v>0.48212231887141499</v>
      </c>
      <c r="H111" s="24">
        <f>IF(
H102&lt;H110,0,
(H107*H102^2+H108*H102+H109)
)</f>
        <v>5.1044338913032838E-2</v>
      </c>
      <c r="I111" s="280"/>
    </row>
    <row r="112" spans="1:9">
      <c r="A112" s="283"/>
      <c r="B112" s="284"/>
      <c r="C112" s="284"/>
      <c r="D112" s="284"/>
      <c r="E112" s="284"/>
      <c r="F112" s="284"/>
      <c r="G112" s="284"/>
      <c r="H112" s="284"/>
      <c r="I112" s="280"/>
    </row>
    <row r="113" spans="9:9">
      <c r="I113" s="2"/>
    </row>
    <row r="114" spans="9:9">
      <c r="I114" s="2"/>
    </row>
    <row r="115" spans="9:9">
      <c r="I115" s="2"/>
    </row>
    <row r="116" spans="9:9">
      <c r="I116" s="2"/>
    </row>
    <row r="117" spans="9:9">
      <c r="I117" s="2"/>
    </row>
    <row r="118" spans="9:9">
      <c r="I118" s="2"/>
    </row>
    <row r="119" spans="9:9">
      <c r="I119" s="2"/>
    </row>
    <row r="120" spans="9:9">
      <c r="I120" s="2"/>
    </row>
    <row r="121" spans="9:9">
      <c r="I121" s="2"/>
    </row>
    <row r="122" spans="9:9">
      <c r="I122" s="2"/>
    </row>
    <row r="123" spans="9:9">
      <c r="I123" s="2"/>
    </row>
    <row r="124" spans="9:9">
      <c r="I124" s="2"/>
    </row>
    <row r="125" spans="9:9">
      <c r="I125" s="2"/>
    </row>
    <row r="126" spans="9:9">
      <c r="I126" s="2"/>
    </row>
    <row r="127" spans="9:9">
      <c r="I127" s="2"/>
    </row>
    <row r="128" spans="9:9">
      <c r="I128" s="2"/>
    </row>
  </sheetData>
  <mergeCells count="107">
    <mergeCell ref="I1:I112"/>
    <mergeCell ref="A1:A112"/>
    <mergeCell ref="B112:H112"/>
    <mergeCell ref="B106:H106"/>
    <mergeCell ref="B88:H88"/>
    <mergeCell ref="B81:H81"/>
    <mergeCell ref="B73:H73"/>
    <mergeCell ref="B66:H66"/>
    <mergeCell ref="B57:H57"/>
    <mergeCell ref="B40:H40"/>
    <mergeCell ref="B31:H31"/>
    <mergeCell ref="B17:H17"/>
    <mergeCell ref="E15:H15"/>
    <mergeCell ref="E16:H16"/>
    <mergeCell ref="E22:H22"/>
    <mergeCell ref="E23:H23"/>
    <mergeCell ref="E24:F24"/>
    <mergeCell ref="G24:H24"/>
    <mergeCell ref="E103:H103"/>
    <mergeCell ref="E104:H104"/>
    <mergeCell ref="G32:H32"/>
    <mergeCell ref="E32:F32"/>
    <mergeCell ref="E91:H91"/>
    <mergeCell ref="E92:H92"/>
    <mergeCell ref="E86:H86"/>
    <mergeCell ref="E87:H87"/>
    <mergeCell ref="E93:F93"/>
    <mergeCell ref="G93:H93"/>
    <mergeCell ref="E94:H94"/>
    <mergeCell ref="E95:F95"/>
    <mergeCell ref="G95:H95"/>
    <mergeCell ref="E90:H90"/>
    <mergeCell ref="E72:H72"/>
    <mergeCell ref="E74:H74"/>
    <mergeCell ref="E75:H75"/>
    <mergeCell ref="E89:F89"/>
    <mergeCell ref="G89:H89"/>
    <mergeCell ref="E78:H78"/>
    <mergeCell ref="E79:H79"/>
    <mergeCell ref="E82:H82"/>
    <mergeCell ref="E83:H83"/>
    <mergeCell ref="E84:H84"/>
    <mergeCell ref="E85:H85"/>
    <mergeCell ref="E80:F80"/>
    <mergeCell ref="G80:H80"/>
    <mergeCell ref="E64:H64"/>
    <mergeCell ref="E67:H67"/>
    <mergeCell ref="E68:H68"/>
    <mergeCell ref="E69:H69"/>
    <mergeCell ref="E70:H70"/>
    <mergeCell ref="E71:H71"/>
    <mergeCell ref="E65:H65"/>
    <mergeCell ref="E76:H76"/>
    <mergeCell ref="E77:H77"/>
    <mergeCell ref="E35:H35"/>
    <mergeCell ref="E36:H36"/>
    <mergeCell ref="G37:H37"/>
    <mergeCell ref="E25:H25"/>
    <mergeCell ref="E26:H26"/>
    <mergeCell ref="E27:H27"/>
    <mergeCell ref="E28:H28"/>
    <mergeCell ref="E29:H29"/>
    <mergeCell ref="G33:H33"/>
    <mergeCell ref="E33:F33"/>
    <mergeCell ref="E37:F37"/>
    <mergeCell ref="G34:H34"/>
    <mergeCell ref="E34:F34"/>
    <mergeCell ref="E41:H41"/>
    <mergeCell ref="E42:H42"/>
    <mergeCell ref="E43:H43"/>
    <mergeCell ref="E44:H44"/>
    <mergeCell ref="E45:H45"/>
    <mergeCell ref="E38:H38"/>
    <mergeCell ref="G39:H39"/>
    <mergeCell ref="E39:F39"/>
    <mergeCell ref="E46:H46"/>
    <mergeCell ref="E58:H58"/>
    <mergeCell ref="E59:H59"/>
    <mergeCell ref="E60:H60"/>
    <mergeCell ref="E61:H61"/>
    <mergeCell ref="E62:H62"/>
    <mergeCell ref="E63:H63"/>
    <mergeCell ref="E47:H47"/>
    <mergeCell ref="E48:H48"/>
    <mergeCell ref="E55:H55"/>
    <mergeCell ref="E56:H56"/>
    <mergeCell ref="E5:H5"/>
    <mergeCell ref="E6:H6"/>
    <mergeCell ref="E7:H7"/>
    <mergeCell ref="E30:H30"/>
    <mergeCell ref="E2:H2"/>
    <mergeCell ref="E3:H3"/>
    <mergeCell ref="E4:H4"/>
    <mergeCell ref="E19:F19"/>
    <mergeCell ref="G18:H18"/>
    <mergeCell ref="G19:H19"/>
    <mergeCell ref="E8:H8"/>
    <mergeCell ref="E11:H11"/>
    <mergeCell ref="E12:H12"/>
    <mergeCell ref="E13:H13"/>
    <mergeCell ref="E14:H14"/>
    <mergeCell ref="E18:F18"/>
    <mergeCell ref="E20:F20"/>
    <mergeCell ref="G20:H20"/>
    <mergeCell ref="E21:H21"/>
    <mergeCell ref="E9:H9"/>
    <mergeCell ref="E10:H1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0E4804-61B5-4C0C-B1A6-E22F6AD676E9}">
  <dimension ref="B1:L8"/>
  <sheetViews>
    <sheetView zoomScaleNormal="100" workbookViewId="0">
      <selection activeCell="F20" sqref="F20"/>
    </sheetView>
  </sheetViews>
  <sheetFormatPr defaultRowHeight="15"/>
  <cols>
    <col min="1" max="1" width="3" customWidth="1"/>
    <col min="2" max="2" width="23.85546875" bestFit="1" customWidth="1"/>
    <col min="3" max="3" width="14.140625" bestFit="1" customWidth="1"/>
    <col min="4" max="4" width="3.140625" customWidth="1"/>
    <col min="5" max="5" width="12.5703125" bestFit="1" customWidth="1"/>
    <col min="6" max="6" width="9.140625" bestFit="1" customWidth="1"/>
    <col min="7" max="7" width="12" bestFit="1" customWidth="1"/>
    <col min="8" max="8" width="3.140625" customWidth="1"/>
    <col min="9" max="9" width="29" bestFit="1" customWidth="1"/>
    <col min="10" max="10" width="4.28515625" bestFit="1" customWidth="1"/>
    <col min="11" max="11" width="9.5703125" bestFit="1" customWidth="1"/>
    <col min="12" max="12" width="9.85546875" bestFit="1" customWidth="1"/>
    <col min="23" max="23" width="9.28515625" bestFit="1" customWidth="1"/>
    <col min="24" max="24" width="13.28515625" bestFit="1" customWidth="1"/>
    <col min="25" max="25" width="16.5703125" bestFit="1" customWidth="1"/>
    <col min="27" max="27" width="24.28515625" bestFit="1" customWidth="1"/>
    <col min="28" max="29" width="8.5703125" bestFit="1" customWidth="1"/>
    <col min="30" max="30" width="9" bestFit="1" customWidth="1"/>
    <col min="31" max="31" width="8.5703125" bestFit="1" customWidth="1"/>
    <col min="32" max="32" width="7.7109375" bestFit="1" customWidth="1"/>
    <col min="33" max="34" width="8.5703125" bestFit="1" customWidth="1"/>
  </cols>
  <sheetData>
    <row r="1" spans="2:12" ht="15.75" thickBot="1"/>
    <row r="2" spans="2:12" ht="33">
      <c r="B2" s="94" t="s">
        <v>195</v>
      </c>
      <c r="C2" s="40" t="s">
        <v>8</v>
      </c>
      <c r="D2" s="95"/>
      <c r="E2" s="94" t="s">
        <v>197</v>
      </c>
      <c r="F2" s="39" t="s">
        <v>380</v>
      </c>
      <c r="G2" s="40" t="s">
        <v>381</v>
      </c>
      <c r="I2" s="42"/>
      <c r="J2" s="37"/>
      <c r="K2" s="39" t="s">
        <v>198</v>
      </c>
      <c r="L2" s="40" t="s">
        <v>199</v>
      </c>
    </row>
    <row r="3" spans="2:12" ht="18">
      <c r="B3" s="84"/>
      <c r="C3" s="86" t="s">
        <v>196</v>
      </c>
      <c r="E3" s="78" t="s">
        <v>164</v>
      </c>
      <c r="F3" s="23" t="s">
        <v>165</v>
      </c>
      <c r="G3" s="86" t="s">
        <v>165</v>
      </c>
      <c r="I3" s="78" t="s">
        <v>85</v>
      </c>
      <c r="J3" s="23" t="s">
        <v>200</v>
      </c>
      <c r="K3" s="227">
        <v>30.514706</v>
      </c>
      <c r="L3" s="228">
        <v>48.823529000000001</v>
      </c>
    </row>
    <row r="4" spans="2:12" ht="18.75" thickBot="1">
      <c r="B4" s="78"/>
      <c r="C4" s="86"/>
      <c r="E4" s="82">
        <v>3</v>
      </c>
      <c r="F4" s="83">
        <v>140</v>
      </c>
      <c r="G4" s="38">
        <f>F4/1.6</f>
        <v>87.5</v>
      </c>
      <c r="I4" s="79" t="s">
        <v>86</v>
      </c>
      <c r="J4" s="30" t="s">
        <v>201</v>
      </c>
      <c r="K4" s="229">
        <v>-2.8125</v>
      </c>
      <c r="L4" s="230">
        <v>-4.5</v>
      </c>
    </row>
    <row r="5" spans="2:12">
      <c r="B5" s="78" t="s">
        <v>163</v>
      </c>
      <c r="C5" s="48">
        <v>14</v>
      </c>
      <c r="E5" s="202">
        <v>3.3</v>
      </c>
      <c r="F5" s="191">
        <v>160</v>
      </c>
      <c r="G5" s="226">
        <f t="shared" ref="G5" si="0">F5/1.6</f>
        <v>100</v>
      </c>
    </row>
    <row r="6" spans="2:12" ht="15.75" thickBot="1">
      <c r="B6" s="79" t="s">
        <v>147</v>
      </c>
      <c r="C6" s="59">
        <v>13</v>
      </c>
      <c r="E6" s="82">
        <v>3.5</v>
      </c>
      <c r="F6" s="83">
        <v>166</v>
      </c>
      <c r="G6" s="38">
        <f t="shared" ref="G6:G7" si="1">F6/1.6</f>
        <v>103.75</v>
      </c>
    </row>
    <row r="7" spans="2:12" ht="15.75" thickBot="1">
      <c r="C7" s="16"/>
      <c r="E7" s="224">
        <v>3.8</v>
      </c>
      <c r="F7" s="225">
        <v>180</v>
      </c>
      <c r="G7" s="64">
        <f t="shared" si="1"/>
        <v>112.5</v>
      </c>
    </row>
    <row r="8" spans="2:12" ht="15.75" thickBot="1">
      <c r="B8" s="98" t="str">
        <f>CM!E4</f>
        <v>Hardwood 13 (MJ/(kgDS))</v>
      </c>
      <c r="C8" s="99">
        <f>IFERROR(VLOOKUP(B8, B5:C6, 2, FALSE), "No Match")</f>
        <v>13</v>
      </c>
    </row>
  </sheetData>
  <phoneticPr fontId="8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3F078-74A2-4D81-8430-650C8F90386F}">
  <dimension ref="A1:BO102"/>
  <sheetViews>
    <sheetView zoomScaleNormal="100" workbookViewId="0">
      <pane ySplit="2" topLeftCell="A3" activePane="bottomLeft" state="frozen"/>
      <selection pane="bottomLeft" activeCell="AQ34" sqref="AQ34"/>
    </sheetView>
  </sheetViews>
  <sheetFormatPr defaultColWidth="9.140625" defaultRowHeight="15"/>
  <cols>
    <col min="1" max="1" width="11.5703125" style="5" bestFit="1" customWidth="1"/>
    <col min="2" max="2" width="7.5703125" style="5" bestFit="1" customWidth="1"/>
    <col min="3" max="3" width="7.5703125" style="236" bestFit="1" customWidth="1"/>
    <col min="4" max="4" width="7.7109375" style="236" bestFit="1" customWidth="1"/>
    <col min="5" max="5" width="8.28515625" style="4" bestFit="1" customWidth="1"/>
    <col min="6" max="6" width="7.5703125" style="236" bestFit="1" customWidth="1"/>
    <col min="7" max="7" width="8" style="236" bestFit="1" customWidth="1"/>
    <col min="8" max="8" width="9" style="5" hidden="1" customWidth="1"/>
    <col min="9" max="9" width="14.5703125" style="5" hidden="1" customWidth="1"/>
    <col min="10" max="10" width="8.7109375" style="5" hidden="1" customWidth="1"/>
    <col min="11" max="12" width="8.5703125" style="5" hidden="1" customWidth="1"/>
    <col min="13" max="13" width="10.28515625" style="5" hidden="1" customWidth="1"/>
    <col min="14" max="14" width="14.7109375" style="5" hidden="1" customWidth="1"/>
    <col min="15" max="15" width="12.5703125" style="5" hidden="1" customWidth="1"/>
    <col min="16" max="16" width="3.140625" style="5" hidden="1" customWidth="1"/>
    <col min="17" max="17" width="11.42578125" style="117" hidden="1" customWidth="1"/>
    <col min="18" max="18" width="8.7109375" style="117" hidden="1" customWidth="1"/>
    <col min="19" max="19" width="12.5703125" style="117" hidden="1" customWidth="1"/>
    <col min="20" max="20" width="7.7109375" style="8" bestFit="1" customWidth="1"/>
    <col min="21" max="21" width="8.28515625" style="118" bestFit="1" customWidth="1"/>
    <col min="22" max="22" width="8.5703125" style="8" bestFit="1" customWidth="1"/>
    <col min="23" max="23" width="8.28515625" style="117" bestFit="1" customWidth="1"/>
    <col min="24" max="24" width="8.28515625" style="117" hidden="1" customWidth="1"/>
    <col min="25" max="25" width="14.5703125" style="118" hidden="1" customWidth="1"/>
    <col min="26" max="26" width="8.7109375" style="117" hidden="1" customWidth="1"/>
    <col min="27" max="28" width="8.5703125" style="117" hidden="1" customWidth="1"/>
    <col min="29" max="29" width="10.28515625" style="117" hidden="1" customWidth="1"/>
    <col min="30" max="30" width="14.7109375" style="117" hidden="1" customWidth="1"/>
    <col min="31" max="31" width="8.7109375"/>
    <col min="32" max="36" width="10.42578125" style="5" hidden="1" customWidth="1"/>
    <col min="37" max="37" width="0" hidden="1" customWidth="1"/>
    <col min="38" max="42" width="10.28515625" style="5" hidden="1" customWidth="1"/>
    <col min="43" max="50" width="8.7109375"/>
    <col min="51" max="51" width="9.140625" style="5"/>
    <col min="52" max="67" width="9.140625" style="3"/>
    <col min="68" max="16384" width="9.140625" style="5"/>
  </cols>
  <sheetData>
    <row r="1" spans="1:49">
      <c r="A1" s="117"/>
      <c r="B1" s="292" t="s">
        <v>382</v>
      </c>
      <c r="C1" s="293"/>
      <c r="D1" s="290" t="s">
        <v>260</v>
      </c>
      <c r="E1" s="290"/>
      <c r="F1" s="290"/>
      <c r="G1" s="290"/>
      <c r="H1" s="190"/>
      <c r="I1" s="190"/>
      <c r="J1" s="190"/>
      <c r="K1" s="190"/>
      <c r="L1" s="190"/>
      <c r="M1" s="190"/>
      <c r="N1" s="190"/>
      <c r="O1" s="190"/>
      <c r="P1" s="190"/>
      <c r="Q1" s="190"/>
      <c r="R1" s="290" t="s">
        <v>261</v>
      </c>
      <c r="S1" s="290"/>
      <c r="T1" s="290"/>
      <c r="U1" s="290"/>
      <c r="V1" s="290"/>
      <c r="W1" s="290"/>
      <c r="X1" s="290"/>
      <c r="Y1" s="290"/>
      <c r="Z1" s="290"/>
      <c r="AA1" s="290"/>
      <c r="AB1" s="290"/>
      <c r="AC1" s="290"/>
      <c r="AD1" s="291"/>
      <c r="AK1" s="5"/>
      <c r="AS1" s="5"/>
      <c r="AW1" s="5"/>
    </row>
    <row r="2" spans="1:49" ht="18">
      <c r="A2" s="117"/>
      <c r="B2" s="53" t="s">
        <v>10</v>
      </c>
      <c r="C2" s="85" t="s">
        <v>130</v>
      </c>
      <c r="D2" s="85" t="s">
        <v>125</v>
      </c>
      <c r="E2" s="69" t="s">
        <v>126</v>
      </c>
      <c r="F2" s="85" t="s">
        <v>127</v>
      </c>
      <c r="G2" s="85" t="s">
        <v>128</v>
      </c>
      <c r="H2" s="49" t="s">
        <v>266</v>
      </c>
      <c r="I2" s="49" t="s">
        <v>267</v>
      </c>
      <c r="J2" s="49" t="s">
        <v>268</v>
      </c>
      <c r="K2" s="49" t="s">
        <v>269</v>
      </c>
      <c r="L2" s="49" t="s">
        <v>270</v>
      </c>
      <c r="M2" s="49" t="s">
        <v>271</v>
      </c>
      <c r="N2" s="49" t="s">
        <v>272</v>
      </c>
      <c r="O2" s="49" t="s">
        <v>273</v>
      </c>
      <c r="P2" s="49"/>
      <c r="Q2" s="49"/>
      <c r="R2" s="49" t="s">
        <v>265</v>
      </c>
      <c r="S2" s="49" t="s">
        <v>168</v>
      </c>
      <c r="T2" s="85" t="s">
        <v>125</v>
      </c>
      <c r="U2" s="69" t="s">
        <v>126</v>
      </c>
      <c r="V2" s="85" t="s">
        <v>127</v>
      </c>
      <c r="W2" s="49" t="s">
        <v>128</v>
      </c>
      <c r="X2" s="49" t="s">
        <v>266</v>
      </c>
      <c r="Y2" s="49" t="s">
        <v>267</v>
      </c>
      <c r="Z2" s="49" t="s">
        <v>268</v>
      </c>
      <c r="AA2" s="49" t="s">
        <v>269</v>
      </c>
      <c r="AB2" s="49" t="s">
        <v>270</v>
      </c>
      <c r="AC2" s="49" t="s">
        <v>271</v>
      </c>
      <c r="AD2" s="50" t="s">
        <v>272</v>
      </c>
      <c r="AF2" s="10" t="s">
        <v>3</v>
      </c>
      <c r="AG2" s="10" t="s">
        <v>4</v>
      </c>
      <c r="AH2" s="10" t="s">
        <v>5</v>
      </c>
      <c r="AI2" s="10" t="s">
        <v>6</v>
      </c>
      <c r="AJ2" s="10" t="s">
        <v>7</v>
      </c>
      <c r="AK2" s="5"/>
      <c r="AL2" s="10" t="s">
        <v>3</v>
      </c>
      <c r="AM2" s="10" t="s">
        <v>4</v>
      </c>
      <c r="AN2" s="10" t="s">
        <v>5</v>
      </c>
      <c r="AO2" s="10" t="s">
        <v>6</v>
      </c>
      <c r="AP2" s="10" t="s">
        <v>7</v>
      </c>
      <c r="AS2" s="5"/>
      <c r="AW2" s="5"/>
    </row>
    <row r="3" spans="1:49" ht="17.25">
      <c r="A3" s="117"/>
      <c r="B3" s="53" t="s">
        <v>156</v>
      </c>
      <c r="C3" s="85" t="s">
        <v>166</v>
      </c>
      <c r="D3" s="85" t="s">
        <v>177</v>
      </c>
      <c r="E3" s="23" t="s">
        <v>157</v>
      </c>
      <c r="F3" s="85" t="s">
        <v>158</v>
      </c>
      <c r="G3" s="85" t="s">
        <v>159</v>
      </c>
      <c r="H3" s="49" t="s">
        <v>276</v>
      </c>
      <c r="I3" s="49" t="s">
        <v>262</v>
      </c>
      <c r="J3" s="49" t="s">
        <v>262</v>
      </c>
      <c r="K3" s="49" t="s">
        <v>158</v>
      </c>
      <c r="L3" s="49" t="s">
        <v>158</v>
      </c>
      <c r="M3" s="49" t="s">
        <v>155</v>
      </c>
      <c r="N3" s="49" t="s">
        <v>263</v>
      </c>
      <c r="O3" s="49" t="s">
        <v>264</v>
      </c>
      <c r="P3" s="49"/>
      <c r="Q3" s="49"/>
      <c r="R3" s="49" t="s">
        <v>156</v>
      </c>
      <c r="S3" s="49" t="s">
        <v>166</v>
      </c>
      <c r="T3" s="85" t="s">
        <v>177</v>
      </c>
      <c r="U3" s="23" t="s">
        <v>157</v>
      </c>
      <c r="V3" s="85" t="s">
        <v>158</v>
      </c>
      <c r="W3" s="49" t="s">
        <v>159</v>
      </c>
      <c r="X3" s="49" t="s">
        <v>276</v>
      </c>
      <c r="Y3" s="49" t="s">
        <v>262</v>
      </c>
      <c r="Z3" s="49" t="s">
        <v>262</v>
      </c>
      <c r="AA3" s="49" t="s">
        <v>158</v>
      </c>
      <c r="AB3" s="49" t="s">
        <v>158</v>
      </c>
      <c r="AC3" s="49" t="s">
        <v>155</v>
      </c>
      <c r="AD3" s="50" t="s">
        <v>263</v>
      </c>
      <c r="AF3" s="10"/>
      <c r="AG3" s="10"/>
      <c r="AH3" s="10"/>
      <c r="AI3" s="10"/>
      <c r="AJ3" s="10"/>
      <c r="AK3" s="5"/>
      <c r="AL3" s="10"/>
      <c r="AM3" s="10"/>
      <c r="AN3" s="10"/>
      <c r="AO3" s="10"/>
      <c r="AP3" s="10"/>
      <c r="AS3" s="5"/>
      <c r="AW3" s="5"/>
    </row>
    <row r="4" spans="1:49">
      <c r="A4" s="117"/>
      <c r="B4" s="89">
        <v>60</v>
      </c>
      <c r="C4" s="85">
        <v>275.58</v>
      </c>
      <c r="D4" s="85">
        <v>758</v>
      </c>
      <c r="E4" s="69">
        <v>9.5310999999999996E-5</v>
      </c>
      <c r="F4" s="85">
        <f t="shared" ref="F4:F35" si="0">AJ4*1000</f>
        <v>5211.5999999999995</v>
      </c>
      <c r="G4" s="85">
        <v>0.58679000000000003</v>
      </c>
      <c r="H4" s="69">
        <v>1.3193E-3</v>
      </c>
      <c r="I4" s="69">
        <f t="shared" ref="I4:I35" si="1">AF4*1000</f>
        <v>1206000</v>
      </c>
      <c r="J4" s="69">
        <f t="shared" ref="J4:J35" si="2">AG4*1000</f>
        <v>1213900</v>
      </c>
      <c r="K4" s="47">
        <f t="shared" ref="K4:K35" si="3">AH4*1000</f>
        <v>3027.8</v>
      </c>
      <c r="L4" s="47">
        <f t="shared" ref="L4:L35" si="4">AI4*1000</f>
        <v>3093.9</v>
      </c>
      <c r="M4" s="47">
        <v>1033.9000000000001</v>
      </c>
      <c r="N4" s="69">
        <v>8.9408999999999999E-3</v>
      </c>
      <c r="O4" s="69">
        <v>2.0025999999999999E-2</v>
      </c>
      <c r="P4" s="49"/>
      <c r="Q4" s="49"/>
      <c r="R4" s="47">
        <v>60</v>
      </c>
      <c r="S4" s="47">
        <v>275.58</v>
      </c>
      <c r="T4" s="85">
        <v>30.818000000000001</v>
      </c>
      <c r="U4" s="69">
        <v>1.844E-5</v>
      </c>
      <c r="V4" s="85">
        <f t="shared" ref="V4:V35" si="5">AP4*1000</f>
        <v>4879.4000000000005</v>
      </c>
      <c r="W4" s="69">
        <v>5.9066E-2</v>
      </c>
      <c r="X4" s="69">
        <v>3.2447999999999998E-2</v>
      </c>
      <c r="Y4" s="69">
        <f t="shared" ref="Y4:Y35" si="6">AL4*1000</f>
        <v>2589900</v>
      </c>
      <c r="Z4" s="69">
        <f t="shared" ref="Z4:Z35" si="7">AM4*1000</f>
        <v>2784600</v>
      </c>
      <c r="AA4" s="47">
        <f t="shared" ref="AA4:AA35" si="8">AN4*1000</f>
        <v>5890.1</v>
      </c>
      <c r="AB4" s="47">
        <f t="shared" ref="AB4:AB35" si="9">AO4*1000</f>
        <v>2705.4</v>
      </c>
      <c r="AC4" s="47">
        <v>493.84</v>
      </c>
      <c r="AD4" s="48">
        <v>1.3102</v>
      </c>
      <c r="AF4" s="22">
        <v>1206</v>
      </c>
      <c r="AG4" s="13">
        <v>1213.9000000000001</v>
      </c>
      <c r="AH4" s="13">
        <v>3.0278</v>
      </c>
      <c r="AI4" s="13">
        <v>3.0939000000000001</v>
      </c>
      <c r="AJ4" s="13">
        <v>5.2115999999999998</v>
      </c>
      <c r="AK4" s="5"/>
      <c r="AL4" s="22">
        <v>2589.9</v>
      </c>
      <c r="AM4" s="13">
        <v>2784.6</v>
      </c>
      <c r="AN4" s="13">
        <v>5.8901000000000003</v>
      </c>
      <c r="AO4" s="13">
        <v>2.7054</v>
      </c>
      <c r="AP4" s="13">
        <v>4.8794000000000004</v>
      </c>
      <c r="AS4" s="5"/>
      <c r="AW4" s="5"/>
    </row>
    <row r="5" spans="1:49">
      <c r="A5" s="117"/>
      <c r="B5" s="89">
        <v>61</v>
      </c>
      <c r="C5" s="85">
        <v>276.67</v>
      </c>
      <c r="D5" s="85">
        <v>756.13</v>
      </c>
      <c r="E5" s="69">
        <v>9.4877000000000007E-5</v>
      </c>
      <c r="F5" s="85">
        <f t="shared" si="0"/>
        <v>5229.8999999999996</v>
      </c>
      <c r="G5" s="85">
        <v>0.58540000000000003</v>
      </c>
      <c r="H5" s="69">
        <v>1.3225000000000001E-3</v>
      </c>
      <c r="I5" s="69">
        <f t="shared" si="1"/>
        <v>1211400</v>
      </c>
      <c r="J5" s="69">
        <f t="shared" si="2"/>
        <v>1219500</v>
      </c>
      <c r="K5" s="47">
        <f t="shared" si="3"/>
        <v>3037.7000000000003</v>
      </c>
      <c r="L5" s="47">
        <f t="shared" si="4"/>
        <v>3091.7</v>
      </c>
      <c r="M5" s="47">
        <v>1028.7</v>
      </c>
      <c r="N5" s="69">
        <v>9.3773999999999993E-3</v>
      </c>
      <c r="O5" s="69">
        <v>1.9772999999999999E-2</v>
      </c>
      <c r="P5" s="49"/>
      <c r="Q5" s="49"/>
      <c r="R5" s="47">
        <v>61</v>
      </c>
      <c r="S5" s="47">
        <v>276.67</v>
      </c>
      <c r="T5" s="85">
        <v>31.378</v>
      </c>
      <c r="U5" s="69">
        <v>1.8485999999999999E-5</v>
      </c>
      <c r="V5" s="85">
        <f t="shared" si="5"/>
        <v>4925.3</v>
      </c>
      <c r="W5" s="69">
        <v>5.9499000000000003E-2</v>
      </c>
      <c r="X5" s="69">
        <v>3.1870000000000002E-2</v>
      </c>
      <c r="Y5" s="69">
        <f t="shared" si="6"/>
        <v>2589100</v>
      </c>
      <c r="Z5" s="69">
        <f t="shared" si="7"/>
        <v>2783500</v>
      </c>
      <c r="AA5" s="47">
        <f t="shared" si="8"/>
        <v>5882.3</v>
      </c>
      <c r="AB5" s="47">
        <f t="shared" si="9"/>
        <v>2716.2999999999997</v>
      </c>
      <c r="AC5" s="47">
        <v>493.39</v>
      </c>
      <c r="AD5" s="48">
        <v>1.2991999999999999</v>
      </c>
      <c r="AF5" s="22">
        <v>1211.4000000000001</v>
      </c>
      <c r="AG5" s="13">
        <v>1219.5</v>
      </c>
      <c r="AH5" s="13">
        <v>3.0377000000000001</v>
      </c>
      <c r="AI5" s="13">
        <v>3.0916999999999999</v>
      </c>
      <c r="AJ5" s="13">
        <v>5.2298999999999998</v>
      </c>
      <c r="AK5" s="5"/>
      <c r="AL5" s="22">
        <v>2589.1</v>
      </c>
      <c r="AM5" s="13">
        <v>2783.5</v>
      </c>
      <c r="AN5" s="13">
        <v>5.8822999999999999</v>
      </c>
      <c r="AO5" s="13">
        <v>2.7162999999999999</v>
      </c>
      <c r="AP5" s="13">
        <v>4.9253</v>
      </c>
      <c r="AS5" s="5"/>
      <c r="AW5" s="5"/>
    </row>
    <row r="6" spans="1:49">
      <c r="A6" s="117"/>
      <c r="B6" s="89">
        <v>62</v>
      </c>
      <c r="C6" s="85">
        <v>277.73</v>
      </c>
      <c r="D6" s="85">
        <v>754.27</v>
      </c>
      <c r="E6" s="69">
        <v>9.4450999999999994E-5</v>
      </c>
      <c r="F6" s="85">
        <f t="shared" si="0"/>
        <v>5248.4000000000005</v>
      </c>
      <c r="G6" s="85">
        <v>0.58401000000000003</v>
      </c>
      <c r="H6" s="69">
        <v>1.3258E-3</v>
      </c>
      <c r="I6" s="69">
        <f t="shared" si="1"/>
        <v>1216800</v>
      </c>
      <c r="J6" s="69">
        <f t="shared" si="2"/>
        <v>1225100</v>
      </c>
      <c r="K6" s="47">
        <f t="shared" si="3"/>
        <v>3047.6</v>
      </c>
      <c r="L6" s="47">
        <f t="shared" si="4"/>
        <v>3089.5</v>
      </c>
      <c r="M6" s="47">
        <v>1023.6</v>
      </c>
      <c r="N6" s="69">
        <v>9.8168999999999999E-3</v>
      </c>
      <c r="O6" s="69">
        <v>1.9522999999999999E-2</v>
      </c>
      <c r="P6" s="49"/>
      <c r="Q6" s="49"/>
      <c r="R6" s="47">
        <v>62</v>
      </c>
      <c r="S6" s="47">
        <v>277.73</v>
      </c>
      <c r="T6" s="85">
        <v>31.94</v>
      </c>
      <c r="U6" s="69">
        <v>1.8530999999999999E-5</v>
      </c>
      <c r="V6" s="85">
        <f t="shared" si="5"/>
        <v>4971.5</v>
      </c>
      <c r="W6" s="69">
        <v>5.9933E-2</v>
      </c>
      <c r="X6" s="69">
        <v>3.1308999999999997E-2</v>
      </c>
      <c r="Y6" s="69">
        <f t="shared" si="6"/>
        <v>2588300</v>
      </c>
      <c r="Z6" s="69">
        <f t="shared" si="7"/>
        <v>2782400</v>
      </c>
      <c r="AA6" s="47">
        <f t="shared" si="8"/>
        <v>5874.5</v>
      </c>
      <c r="AB6" s="47">
        <f t="shared" si="9"/>
        <v>2727.1</v>
      </c>
      <c r="AC6" s="47">
        <v>492.93</v>
      </c>
      <c r="AD6" s="48">
        <v>1.2884</v>
      </c>
      <c r="AF6" s="22">
        <v>1216.8</v>
      </c>
      <c r="AG6" s="13">
        <v>1225.0999999999999</v>
      </c>
      <c r="AH6" s="13">
        <v>3.0476000000000001</v>
      </c>
      <c r="AI6" s="13">
        <v>3.0895000000000001</v>
      </c>
      <c r="AJ6" s="13">
        <v>5.2484000000000002</v>
      </c>
      <c r="AK6" s="5"/>
      <c r="AL6" s="22">
        <v>2588.3000000000002</v>
      </c>
      <c r="AM6" s="13">
        <v>2782.4</v>
      </c>
      <c r="AN6" s="13">
        <v>5.8745000000000003</v>
      </c>
      <c r="AO6" s="13">
        <v>2.7271000000000001</v>
      </c>
      <c r="AP6" s="13">
        <v>4.9714999999999998</v>
      </c>
      <c r="AS6" s="5"/>
      <c r="AW6" s="5"/>
    </row>
    <row r="7" spans="1:49">
      <c r="A7" s="117"/>
      <c r="B7" s="89">
        <v>63</v>
      </c>
      <c r="C7" s="85">
        <v>278.79000000000002</v>
      </c>
      <c r="D7" s="85">
        <v>752.42</v>
      </c>
      <c r="E7" s="69">
        <v>9.4030999999999995E-5</v>
      </c>
      <c r="F7" s="85">
        <f t="shared" si="0"/>
        <v>5267</v>
      </c>
      <c r="G7" s="85">
        <v>0.58262999999999998</v>
      </c>
      <c r="H7" s="69">
        <v>1.3290000000000001E-3</v>
      </c>
      <c r="I7" s="69">
        <f t="shared" si="1"/>
        <v>1222200</v>
      </c>
      <c r="J7" s="69">
        <f t="shared" si="2"/>
        <v>1230500</v>
      </c>
      <c r="K7" s="47">
        <f t="shared" si="3"/>
        <v>3057.3</v>
      </c>
      <c r="L7" s="47">
        <f t="shared" si="4"/>
        <v>3087.2999999999997</v>
      </c>
      <c r="M7" s="47">
        <v>1018.5</v>
      </c>
      <c r="N7" s="69">
        <v>1.026E-2</v>
      </c>
      <c r="O7" s="69">
        <v>1.9276999999999999E-2</v>
      </c>
      <c r="P7" s="49"/>
      <c r="Q7" s="49"/>
      <c r="R7" s="47">
        <v>63</v>
      </c>
      <c r="S7" s="47">
        <v>278.79000000000002</v>
      </c>
      <c r="T7" s="85">
        <v>32.503999999999998</v>
      </c>
      <c r="U7" s="69">
        <v>1.8576999999999998E-5</v>
      </c>
      <c r="V7" s="85">
        <f t="shared" si="5"/>
        <v>5018.2</v>
      </c>
      <c r="W7" s="69">
        <v>6.0367999999999998E-2</v>
      </c>
      <c r="X7" s="69">
        <v>3.0766000000000002E-2</v>
      </c>
      <c r="Y7" s="69">
        <f t="shared" si="6"/>
        <v>2587400</v>
      </c>
      <c r="Z7" s="69">
        <f t="shared" si="7"/>
        <v>2781200</v>
      </c>
      <c r="AA7" s="47">
        <f t="shared" si="8"/>
        <v>5866.7999999999993</v>
      </c>
      <c r="AB7" s="47">
        <f t="shared" si="9"/>
        <v>2737.8</v>
      </c>
      <c r="AC7" s="47">
        <v>492.47</v>
      </c>
      <c r="AD7" s="48">
        <v>1.2778</v>
      </c>
      <c r="AF7" s="22">
        <v>1222.2</v>
      </c>
      <c r="AG7" s="13">
        <v>1230.5</v>
      </c>
      <c r="AH7" s="13">
        <v>3.0573000000000001</v>
      </c>
      <c r="AI7" s="13">
        <v>3.0872999999999999</v>
      </c>
      <c r="AJ7" s="13">
        <v>5.2670000000000003</v>
      </c>
      <c r="AK7" s="5"/>
      <c r="AL7" s="22">
        <v>2587.4</v>
      </c>
      <c r="AM7" s="13">
        <v>2781.2</v>
      </c>
      <c r="AN7" s="13">
        <v>5.8667999999999996</v>
      </c>
      <c r="AO7" s="13">
        <v>2.7378</v>
      </c>
      <c r="AP7" s="13">
        <v>5.0182000000000002</v>
      </c>
      <c r="AS7" s="5"/>
      <c r="AW7" s="5"/>
    </row>
    <row r="8" spans="1:49">
      <c r="A8" s="117"/>
      <c r="B8" s="89">
        <v>64</v>
      </c>
      <c r="C8" s="85">
        <v>279.83</v>
      </c>
      <c r="D8" s="85">
        <v>750.58</v>
      </c>
      <c r="E8" s="69">
        <v>9.3617999999999997E-5</v>
      </c>
      <c r="F8" s="85">
        <f t="shared" si="0"/>
        <v>5285.8</v>
      </c>
      <c r="G8" s="85">
        <v>0.58125000000000004</v>
      </c>
      <c r="H8" s="69">
        <v>1.3323E-3</v>
      </c>
      <c r="I8" s="69">
        <f t="shared" si="1"/>
        <v>1227500</v>
      </c>
      <c r="J8" s="69">
        <f t="shared" si="2"/>
        <v>1236000</v>
      </c>
      <c r="K8" s="47">
        <f t="shared" si="3"/>
        <v>3066.9</v>
      </c>
      <c r="L8" s="47">
        <f t="shared" si="4"/>
        <v>3085.3</v>
      </c>
      <c r="M8" s="47">
        <v>1013.4</v>
      </c>
      <c r="N8" s="69">
        <v>1.0704999999999999E-2</v>
      </c>
      <c r="O8" s="69">
        <v>1.9033000000000001E-2</v>
      </c>
      <c r="P8" s="49"/>
      <c r="Q8" s="49"/>
      <c r="R8" s="47">
        <v>64</v>
      </c>
      <c r="S8" s="47">
        <v>279.83</v>
      </c>
      <c r="T8" s="85">
        <v>33.07</v>
      </c>
      <c r="U8" s="69">
        <v>1.8621999999999999E-5</v>
      </c>
      <c r="V8" s="85">
        <f t="shared" si="5"/>
        <v>5065.2999999999993</v>
      </c>
      <c r="W8" s="69">
        <v>6.0804999999999998E-2</v>
      </c>
      <c r="X8" s="69">
        <v>3.0238000000000001E-2</v>
      </c>
      <c r="Y8" s="69">
        <f t="shared" si="6"/>
        <v>2586500</v>
      </c>
      <c r="Z8" s="69">
        <f t="shared" si="7"/>
        <v>2780100</v>
      </c>
      <c r="AA8" s="47">
        <f t="shared" si="8"/>
        <v>5859.2000000000007</v>
      </c>
      <c r="AB8" s="47">
        <f t="shared" si="9"/>
        <v>2748.5</v>
      </c>
      <c r="AC8" s="47">
        <v>492</v>
      </c>
      <c r="AD8" s="48">
        <v>1.2674000000000001</v>
      </c>
      <c r="AF8" s="22">
        <v>1227.5</v>
      </c>
      <c r="AG8" s="13">
        <v>1236</v>
      </c>
      <c r="AH8" s="13">
        <v>3.0669</v>
      </c>
      <c r="AI8" s="13">
        <v>3.0853000000000002</v>
      </c>
      <c r="AJ8" s="13">
        <v>5.2858000000000001</v>
      </c>
      <c r="AK8" s="5"/>
      <c r="AL8" s="22">
        <v>2586.5</v>
      </c>
      <c r="AM8" s="13">
        <v>2780.1</v>
      </c>
      <c r="AN8" s="13">
        <v>5.8592000000000004</v>
      </c>
      <c r="AO8" s="13">
        <v>2.7484999999999999</v>
      </c>
      <c r="AP8" s="13">
        <v>5.0652999999999997</v>
      </c>
      <c r="AS8" s="5"/>
      <c r="AW8" s="5"/>
    </row>
    <row r="9" spans="1:49">
      <c r="A9" s="117"/>
      <c r="B9" s="89">
        <v>65</v>
      </c>
      <c r="C9" s="85">
        <v>280.86</v>
      </c>
      <c r="D9" s="85">
        <v>748.75</v>
      </c>
      <c r="E9" s="69">
        <v>9.3210999999999999E-5</v>
      </c>
      <c r="F9" s="85">
        <f t="shared" si="0"/>
        <v>5304.8</v>
      </c>
      <c r="G9" s="85">
        <v>0.57989000000000002</v>
      </c>
      <c r="H9" s="69">
        <v>1.3355999999999999E-3</v>
      </c>
      <c r="I9" s="69">
        <f t="shared" si="1"/>
        <v>1232700</v>
      </c>
      <c r="J9" s="69">
        <f t="shared" si="2"/>
        <v>1241400</v>
      </c>
      <c r="K9" s="47">
        <f t="shared" si="3"/>
        <v>3076.4</v>
      </c>
      <c r="L9" s="47">
        <f t="shared" si="4"/>
        <v>3083.2000000000003</v>
      </c>
      <c r="M9" s="47">
        <v>1008.4</v>
      </c>
      <c r="N9" s="69">
        <v>1.1154000000000001E-2</v>
      </c>
      <c r="O9" s="69">
        <v>1.8792E-2</v>
      </c>
      <c r="P9" s="49"/>
      <c r="Q9" s="49"/>
      <c r="R9" s="47">
        <v>65</v>
      </c>
      <c r="S9" s="47">
        <v>280.86</v>
      </c>
      <c r="T9" s="85">
        <v>33.64</v>
      </c>
      <c r="U9" s="69">
        <v>1.8666999999999999E-5</v>
      </c>
      <c r="V9" s="85">
        <f t="shared" si="5"/>
        <v>5112.7</v>
      </c>
      <c r="W9" s="69">
        <v>6.1242999999999999E-2</v>
      </c>
      <c r="X9" s="69">
        <v>2.9727E-2</v>
      </c>
      <c r="Y9" s="69">
        <f t="shared" si="6"/>
        <v>2585700</v>
      </c>
      <c r="Z9" s="69">
        <f t="shared" si="7"/>
        <v>2778900</v>
      </c>
      <c r="AA9" s="47">
        <f t="shared" si="8"/>
        <v>5851.6</v>
      </c>
      <c r="AB9" s="47">
        <f t="shared" si="9"/>
        <v>2759.2</v>
      </c>
      <c r="AC9" s="47">
        <v>491.53</v>
      </c>
      <c r="AD9" s="48">
        <v>1.2572000000000001</v>
      </c>
      <c r="AF9" s="22">
        <v>1232.7</v>
      </c>
      <c r="AG9" s="13">
        <v>1241.4000000000001</v>
      </c>
      <c r="AH9" s="13">
        <v>3.0764</v>
      </c>
      <c r="AI9" s="13">
        <v>3.0832000000000002</v>
      </c>
      <c r="AJ9" s="13">
        <v>5.3048000000000002</v>
      </c>
      <c r="AK9" s="5"/>
      <c r="AL9" s="22">
        <v>2585.6999999999998</v>
      </c>
      <c r="AM9" s="13">
        <v>2778.9</v>
      </c>
      <c r="AN9" s="13">
        <v>5.8516000000000004</v>
      </c>
      <c r="AO9" s="13">
        <v>2.7591999999999999</v>
      </c>
      <c r="AP9" s="13">
        <v>5.1127000000000002</v>
      </c>
      <c r="AS9" s="5"/>
      <c r="AW9" s="5"/>
    </row>
    <row r="10" spans="1:49">
      <c r="A10" s="117"/>
      <c r="B10" s="89">
        <v>66</v>
      </c>
      <c r="C10" s="85">
        <v>281.87</v>
      </c>
      <c r="D10" s="85">
        <v>746.93</v>
      </c>
      <c r="E10" s="69">
        <v>9.2811000000000003E-5</v>
      </c>
      <c r="F10" s="85">
        <f t="shared" si="0"/>
        <v>5323.9</v>
      </c>
      <c r="G10" s="85">
        <v>0.57852999999999999</v>
      </c>
      <c r="H10" s="69">
        <v>1.3388E-3</v>
      </c>
      <c r="I10" s="69">
        <f t="shared" si="1"/>
        <v>1237900</v>
      </c>
      <c r="J10" s="69">
        <f t="shared" si="2"/>
        <v>1246700</v>
      </c>
      <c r="K10" s="47">
        <f t="shared" si="3"/>
        <v>3085.7999999999997</v>
      </c>
      <c r="L10" s="47">
        <f t="shared" si="4"/>
        <v>3081.3</v>
      </c>
      <c r="M10" s="47">
        <v>1003.4</v>
      </c>
      <c r="N10" s="69">
        <v>1.1606E-2</v>
      </c>
      <c r="O10" s="69">
        <v>1.8554999999999999E-2</v>
      </c>
      <c r="P10" s="49"/>
      <c r="Q10" s="49"/>
      <c r="R10" s="47">
        <v>66</v>
      </c>
      <c r="S10" s="47">
        <v>281.87</v>
      </c>
      <c r="T10" s="85">
        <v>34.210999999999999</v>
      </c>
      <c r="U10" s="69">
        <v>1.8712E-5</v>
      </c>
      <c r="V10" s="85">
        <f t="shared" si="5"/>
        <v>5160.5999999999995</v>
      </c>
      <c r="W10" s="69">
        <v>6.1682000000000001E-2</v>
      </c>
      <c r="X10" s="69">
        <v>2.9229999999999999E-2</v>
      </c>
      <c r="Y10" s="69">
        <f t="shared" si="6"/>
        <v>2584700</v>
      </c>
      <c r="Z10" s="69">
        <f t="shared" si="7"/>
        <v>2777700</v>
      </c>
      <c r="AA10" s="47">
        <f t="shared" si="8"/>
        <v>5844.1</v>
      </c>
      <c r="AB10" s="47">
        <f t="shared" si="9"/>
        <v>2769.8</v>
      </c>
      <c r="AC10" s="47">
        <v>491.06</v>
      </c>
      <c r="AD10" s="48">
        <v>1.2473000000000001</v>
      </c>
      <c r="AF10" s="22">
        <v>1237.9000000000001</v>
      </c>
      <c r="AG10" s="13">
        <v>1246.7</v>
      </c>
      <c r="AH10" s="13">
        <v>3.0857999999999999</v>
      </c>
      <c r="AI10" s="13">
        <v>3.0813000000000001</v>
      </c>
      <c r="AJ10" s="13">
        <v>5.3239000000000001</v>
      </c>
      <c r="AK10" s="5"/>
      <c r="AL10" s="22">
        <v>2584.6999999999998</v>
      </c>
      <c r="AM10" s="13">
        <v>2777.7</v>
      </c>
      <c r="AN10" s="13">
        <v>5.8441000000000001</v>
      </c>
      <c r="AO10" s="13">
        <v>2.7698</v>
      </c>
      <c r="AP10" s="13">
        <v>5.1605999999999996</v>
      </c>
      <c r="AS10" s="5"/>
      <c r="AW10" s="5"/>
    </row>
    <row r="11" spans="1:49">
      <c r="A11" s="117"/>
      <c r="B11" s="89">
        <v>67</v>
      </c>
      <c r="C11" s="85">
        <v>282.88</v>
      </c>
      <c r="D11" s="85">
        <v>745.11</v>
      </c>
      <c r="E11" s="69">
        <v>9.2416000000000004E-5</v>
      </c>
      <c r="F11" s="85">
        <f t="shared" si="0"/>
        <v>5343.3</v>
      </c>
      <c r="G11" s="85">
        <v>0.57716999999999996</v>
      </c>
      <c r="H11" s="69">
        <v>1.3420999999999999E-3</v>
      </c>
      <c r="I11" s="69">
        <f t="shared" si="1"/>
        <v>1243000</v>
      </c>
      <c r="J11" s="69">
        <f t="shared" si="2"/>
        <v>1252000</v>
      </c>
      <c r="K11" s="47">
        <f t="shared" si="3"/>
        <v>3095.1</v>
      </c>
      <c r="L11" s="47">
        <f t="shared" si="4"/>
        <v>3079.4</v>
      </c>
      <c r="M11" s="47">
        <v>998.43</v>
      </c>
      <c r="N11" s="69">
        <v>1.2062E-2</v>
      </c>
      <c r="O11" s="69">
        <v>1.8319999999999999E-2</v>
      </c>
      <c r="P11" s="49"/>
      <c r="Q11" s="49"/>
      <c r="R11" s="47">
        <v>67</v>
      </c>
      <c r="S11" s="47">
        <v>282.88</v>
      </c>
      <c r="T11" s="85">
        <v>34.786000000000001</v>
      </c>
      <c r="U11" s="69">
        <v>1.8756000000000001E-5</v>
      </c>
      <c r="V11" s="85">
        <f t="shared" si="5"/>
        <v>5208.8999999999996</v>
      </c>
      <c r="W11" s="69">
        <v>6.2122999999999998E-2</v>
      </c>
      <c r="X11" s="69">
        <v>2.8747000000000002E-2</v>
      </c>
      <c r="Y11" s="69">
        <f t="shared" si="6"/>
        <v>2583800</v>
      </c>
      <c r="Z11" s="69">
        <f t="shared" si="7"/>
        <v>2776400</v>
      </c>
      <c r="AA11" s="47">
        <f t="shared" si="8"/>
        <v>5836.7000000000007</v>
      </c>
      <c r="AB11" s="47">
        <f t="shared" si="9"/>
        <v>2780.3</v>
      </c>
      <c r="AC11" s="47">
        <v>490.58</v>
      </c>
      <c r="AD11" s="48">
        <v>1.2375</v>
      </c>
      <c r="AF11" s="22">
        <v>1243</v>
      </c>
      <c r="AG11" s="13">
        <v>1252</v>
      </c>
      <c r="AH11" s="13">
        <v>3.0951</v>
      </c>
      <c r="AI11" s="13">
        <v>3.0794000000000001</v>
      </c>
      <c r="AJ11" s="13">
        <v>5.3433000000000002</v>
      </c>
      <c r="AK11" s="5"/>
      <c r="AL11" s="22">
        <v>2583.8000000000002</v>
      </c>
      <c r="AM11" s="13">
        <v>2776.4</v>
      </c>
      <c r="AN11" s="13">
        <v>5.8367000000000004</v>
      </c>
      <c r="AO11" s="13">
        <v>2.7803</v>
      </c>
      <c r="AP11" s="13">
        <v>5.2088999999999999</v>
      </c>
      <c r="AS11" s="5"/>
      <c r="AW11" s="5"/>
    </row>
    <row r="12" spans="1:49">
      <c r="A12" s="117"/>
      <c r="B12" s="89">
        <v>68</v>
      </c>
      <c r="C12" s="85">
        <v>283.87</v>
      </c>
      <c r="D12" s="85">
        <v>743.31</v>
      </c>
      <c r="E12" s="69">
        <v>9.2027000000000005E-5</v>
      </c>
      <c r="F12" s="85">
        <f t="shared" si="0"/>
        <v>5362.8</v>
      </c>
      <c r="G12" s="85">
        <v>0.57582999999999995</v>
      </c>
      <c r="H12" s="69">
        <v>1.3453E-3</v>
      </c>
      <c r="I12" s="69">
        <f t="shared" si="1"/>
        <v>1248100</v>
      </c>
      <c r="J12" s="69">
        <f t="shared" si="2"/>
        <v>1257300</v>
      </c>
      <c r="K12" s="47">
        <f t="shared" si="3"/>
        <v>3104.2999999999997</v>
      </c>
      <c r="L12" s="47">
        <f t="shared" si="4"/>
        <v>3077.5</v>
      </c>
      <c r="M12" s="47">
        <v>993.49</v>
      </c>
      <c r="N12" s="69">
        <v>1.2520999999999999E-2</v>
      </c>
      <c r="O12" s="69">
        <v>1.8089000000000001E-2</v>
      </c>
      <c r="P12" s="49"/>
      <c r="Q12" s="49"/>
      <c r="R12" s="47">
        <v>68</v>
      </c>
      <c r="S12" s="47">
        <v>283.87</v>
      </c>
      <c r="T12" s="85">
        <v>35.363</v>
      </c>
      <c r="U12" s="69">
        <v>1.8800999999999998E-5</v>
      </c>
      <c r="V12" s="85">
        <f t="shared" si="5"/>
        <v>5257.7</v>
      </c>
      <c r="W12" s="69">
        <v>6.2565999999999997E-2</v>
      </c>
      <c r="X12" s="69">
        <v>2.8278000000000001E-2</v>
      </c>
      <c r="Y12" s="69">
        <f t="shared" si="6"/>
        <v>2582900</v>
      </c>
      <c r="Z12" s="69">
        <f t="shared" si="7"/>
        <v>2775200</v>
      </c>
      <c r="AA12" s="47">
        <f t="shared" si="8"/>
        <v>5829.3</v>
      </c>
      <c r="AB12" s="47">
        <f t="shared" si="9"/>
        <v>2790.7000000000003</v>
      </c>
      <c r="AC12" s="47">
        <v>490.09</v>
      </c>
      <c r="AD12" s="48">
        <v>1.2279</v>
      </c>
      <c r="AF12" s="22">
        <v>1248.0999999999999</v>
      </c>
      <c r="AG12" s="13">
        <v>1257.3</v>
      </c>
      <c r="AH12" s="13">
        <v>3.1042999999999998</v>
      </c>
      <c r="AI12" s="13">
        <v>3.0775000000000001</v>
      </c>
      <c r="AJ12" s="13">
        <v>5.3628</v>
      </c>
      <c r="AK12" s="5"/>
      <c r="AL12" s="22">
        <v>2582.9</v>
      </c>
      <c r="AM12" s="13">
        <v>2775.2</v>
      </c>
      <c r="AN12" s="13">
        <v>5.8292999999999999</v>
      </c>
      <c r="AO12" s="13">
        <v>2.7907000000000002</v>
      </c>
      <c r="AP12" s="13">
        <v>5.2576999999999998</v>
      </c>
      <c r="AS12" s="5"/>
      <c r="AW12" s="5"/>
    </row>
    <row r="13" spans="1:49">
      <c r="A13" s="117"/>
      <c r="B13" s="89">
        <v>69</v>
      </c>
      <c r="C13" s="85">
        <v>284.86</v>
      </c>
      <c r="D13" s="85">
        <v>741.51</v>
      </c>
      <c r="E13" s="69">
        <v>9.1644000000000006E-5</v>
      </c>
      <c r="F13" s="85">
        <f t="shared" si="0"/>
        <v>5382.5</v>
      </c>
      <c r="G13" s="85">
        <v>0.57447999999999999</v>
      </c>
      <c r="H13" s="69">
        <v>1.3485999999999999E-3</v>
      </c>
      <c r="I13" s="69">
        <f t="shared" si="1"/>
        <v>1253200</v>
      </c>
      <c r="J13" s="69">
        <f t="shared" si="2"/>
        <v>1262500</v>
      </c>
      <c r="K13" s="47">
        <f t="shared" si="3"/>
        <v>3113.4</v>
      </c>
      <c r="L13" s="47">
        <f t="shared" si="4"/>
        <v>3075.7</v>
      </c>
      <c r="M13" s="47">
        <v>988.58</v>
      </c>
      <c r="N13" s="69">
        <v>1.2984000000000001E-2</v>
      </c>
      <c r="O13" s="69">
        <v>1.7860000000000001E-2</v>
      </c>
      <c r="P13" s="49"/>
      <c r="Q13" s="49"/>
      <c r="R13" s="47">
        <v>69</v>
      </c>
      <c r="S13" s="47">
        <v>284.86</v>
      </c>
      <c r="T13" s="85">
        <v>35.942999999999998</v>
      </c>
      <c r="U13" s="69">
        <v>1.8845E-5</v>
      </c>
      <c r="V13" s="85">
        <f t="shared" si="5"/>
        <v>5306.9</v>
      </c>
      <c r="W13" s="69">
        <v>6.3010999999999998E-2</v>
      </c>
      <c r="X13" s="69">
        <v>2.7822E-2</v>
      </c>
      <c r="Y13" s="69">
        <f t="shared" si="6"/>
        <v>2581900</v>
      </c>
      <c r="Z13" s="69">
        <f t="shared" si="7"/>
        <v>2773900</v>
      </c>
      <c r="AA13" s="47">
        <f t="shared" si="8"/>
        <v>5822</v>
      </c>
      <c r="AB13" s="47">
        <f t="shared" si="9"/>
        <v>2801.2000000000003</v>
      </c>
      <c r="AC13" s="47">
        <v>489.6</v>
      </c>
      <c r="AD13" s="48">
        <v>1.2184999999999999</v>
      </c>
      <c r="AF13" s="22">
        <v>1253.2</v>
      </c>
      <c r="AG13" s="13">
        <v>1262.5</v>
      </c>
      <c r="AH13" s="13">
        <v>3.1133999999999999</v>
      </c>
      <c r="AI13" s="13">
        <v>3.0756999999999999</v>
      </c>
      <c r="AJ13" s="13">
        <v>5.3825000000000003</v>
      </c>
      <c r="AK13" s="5"/>
      <c r="AL13" s="22">
        <v>2581.9</v>
      </c>
      <c r="AM13" s="13">
        <v>2773.9</v>
      </c>
      <c r="AN13" s="13">
        <v>5.8220000000000001</v>
      </c>
      <c r="AO13" s="13">
        <v>2.8012000000000001</v>
      </c>
      <c r="AP13" s="13">
        <v>5.3068999999999997</v>
      </c>
      <c r="AS13" s="5"/>
      <c r="AW13" s="5"/>
    </row>
    <row r="14" spans="1:49">
      <c r="A14" s="117"/>
      <c r="B14" s="89">
        <v>70</v>
      </c>
      <c r="C14" s="85">
        <v>285.83</v>
      </c>
      <c r="D14" s="85">
        <v>739.72</v>
      </c>
      <c r="E14" s="69">
        <v>9.1266000000000003E-5</v>
      </c>
      <c r="F14" s="85">
        <f t="shared" si="0"/>
        <v>5402.5</v>
      </c>
      <c r="G14" s="85">
        <v>0.57315000000000005</v>
      </c>
      <c r="H14" s="69">
        <v>1.3519000000000001E-3</v>
      </c>
      <c r="I14" s="69">
        <f t="shared" si="1"/>
        <v>1258200</v>
      </c>
      <c r="J14" s="69">
        <f t="shared" si="2"/>
        <v>1267700</v>
      </c>
      <c r="K14" s="47">
        <f t="shared" si="3"/>
        <v>3122.3999999999996</v>
      </c>
      <c r="L14" s="47">
        <f t="shared" si="4"/>
        <v>3074</v>
      </c>
      <c r="M14" s="47">
        <v>983.7</v>
      </c>
      <c r="N14" s="69">
        <v>1.345E-2</v>
      </c>
      <c r="O14" s="69">
        <v>1.7632999999999999E-2</v>
      </c>
      <c r="P14" s="49"/>
      <c r="Q14" s="49"/>
      <c r="R14" s="47">
        <v>70</v>
      </c>
      <c r="S14" s="47">
        <v>285.83</v>
      </c>
      <c r="T14" s="85">
        <v>36.524999999999999</v>
      </c>
      <c r="U14" s="69">
        <v>1.8889000000000002E-5</v>
      </c>
      <c r="V14" s="85">
        <f t="shared" si="5"/>
        <v>5356.6</v>
      </c>
      <c r="W14" s="69">
        <v>6.3457E-2</v>
      </c>
      <c r="X14" s="69">
        <v>2.7378E-2</v>
      </c>
      <c r="Y14" s="69">
        <f t="shared" si="6"/>
        <v>2581000</v>
      </c>
      <c r="Z14" s="69">
        <f t="shared" si="7"/>
        <v>2772600</v>
      </c>
      <c r="AA14" s="47">
        <f t="shared" si="8"/>
        <v>5814.8</v>
      </c>
      <c r="AB14" s="47">
        <f t="shared" si="9"/>
        <v>2811.5</v>
      </c>
      <c r="AC14" s="47">
        <v>489.11</v>
      </c>
      <c r="AD14" s="48">
        <v>1.2093</v>
      </c>
      <c r="AF14" s="22">
        <v>1258.2</v>
      </c>
      <c r="AG14" s="13">
        <v>1267.7</v>
      </c>
      <c r="AH14" s="13">
        <v>3.1223999999999998</v>
      </c>
      <c r="AI14" s="13">
        <v>3.0739999999999998</v>
      </c>
      <c r="AJ14" s="13">
        <v>5.4024999999999999</v>
      </c>
      <c r="AK14" s="5"/>
      <c r="AL14" s="22">
        <v>2581</v>
      </c>
      <c r="AM14" s="13">
        <v>2772.6</v>
      </c>
      <c r="AN14" s="13">
        <v>5.8148</v>
      </c>
      <c r="AO14" s="13">
        <v>2.8115000000000001</v>
      </c>
      <c r="AP14" s="13">
        <v>5.3566000000000003</v>
      </c>
      <c r="AS14" s="5"/>
      <c r="AW14" s="5"/>
    </row>
    <row r="15" spans="1:49">
      <c r="A15" s="117"/>
      <c r="B15" s="89">
        <v>71</v>
      </c>
      <c r="C15" s="85">
        <v>286.79000000000002</v>
      </c>
      <c r="D15" s="85">
        <v>737.94</v>
      </c>
      <c r="E15" s="69">
        <v>9.0894000000000001E-5</v>
      </c>
      <c r="F15" s="85">
        <f t="shared" si="0"/>
        <v>5422.6</v>
      </c>
      <c r="G15" s="85">
        <v>0.57181999999999999</v>
      </c>
      <c r="H15" s="69">
        <v>1.3550999999999999E-3</v>
      </c>
      <c r="I15" s="69">
        <f t="shared" si="1"/>
        <v>1263200</v>
      </c>
      <c r="J15" s="69">
        <f t="shared" si="2"/>
        <v>1272800</v>
      </c>
      <c r="K15" s="47">
        <f t="shared" si="3"/>
        <v>3131.3</v>
      </c>
      <c r="L15" s="47">
        <f t="shared" si="4"/>
        <v>3072.2999999999997</v>
      </c>
      <c r="M15" s="47">
        <v>978.84</v>
      </c>
      <c r="N15" s="69">
        <v>1.392E-2</v>
      </c>
      <c r="O15" s="69">
        <v>1.7409999999999998E-2</v>
      </c>
      <c r="P15" s="49"/>
      <c r="Q15" s="49"/>
      <c r="R15" s="47">
        <v>71</v>
      </c>
      <c r="S15" s="47">
        <v>286.79000000000002</v>
      </c>
      <c r="T15" s="85">
        <v>37.11</v>
      </c>
      <c r="U15" s="69">
        <v>1.8933E-5</v>
      </c>
      <c r="V15" s="85">
        <f t="shared" si="5"/>
        <v>5406.7999999999993</v>
      </c>
      <c r="W15" s="69">
        <v>6.3906000000000004E-2</v>
      </c>
      <c r="X15" s="69">
        <v>2.6946999999999999E-2</v>
      </c>
      <c r="Y15" s="69">
        <f t="shared" si="6"/>
        <v>2580000</v>
      </c>
      <c r="Z15" s="69">
        <f t="shared" si="7"/>
        <v>2771300</v>
      </c>
      <c r="AA15" s="47">
        <f t="shared" si="8"/>
        <v>5807.5999999999995</v>
      </c>
      <c r="AB15" s="47">
        <f t="shared" si="9"/>
        <v>2821.8999999999996</v>
      </c>
      <c r="AC15" s="47">
        <v>488.61</v>
      </c>
      <c r="AD15" s="48">
        <v>1.2001999999999999</v>
      </c>
      <c r="AF15" s="22">
        <v>1263.2</v>
      </c>
      <c r="AG15" s="13">
        <v>1272.8</v>
      </c>
      <c r="AH15" s="13">
        <v>3.1313</v>
      </c>
      <c r="AI15" s="13">
        <v>3.0722999999999998</v>
      </c>
      <c r="AJ15" s="13">
        <v>5.4226000000000001</v>
      </c>
      <c r="AK15" s="5"/>
      <c r="AL15" s="22">
        <v>2580</v>
      </c>
      <c r="AM15" s="13">
        <v>2771.3</v>
      </c>
      <c r="AN15" s="13">
        <v>5.8075999999999999</v>
      </c>
      <c r="AO15" s="13">
        <v>2.8218999999999999</v>
      </c>
      <c r="AP15" s="13">
        <v>5.4067999999999996</v>
      </c>
      <c r="AS15" s="5"/>
      <c r="AW15" s="5"/>
    </row>
    <row r="16" spans="1:49">
      <c r="A16" s="117"/>
      <c r="B16" s="89">
        <v>72</v>
      </c>
      <c r="C16" s="85">
        <v>287.74</v>
      </c>
      <c r="D16" s="85">
        <v>736.17</v>
      </c>
      <c r="E16" s="69">
        <v>9.0525999999999994E-5</v>
      </c>
      <c r="F16" s="85">
        <f t="shared" si="0"/>
        <v>5443</v>
      </c>
      <c r="G16" s="85">
        <v>0.57050000000000001</v>
      </c>
      <c r="H16" s="69">
        <v>1.3584000000000001E-3</v>
      </c>
      <c r="I16" s="69">
        <f t="shared" si="1"/>
        <v>1268100</v>
      </c>
      <c r="J16" s="69">
        <f t="shared" si="2"/>
        <v>1277900</v>
      </c>
      <c r="K16" s="47">
        <f t="shared" si="3"/>
        <v>3140.2000000000003</v>
      </c>
      <c r="L16" s="47">
        <f t="shared" si="4"/>
        <v>3070.7</v>
      </c>
      <c r="M16" s="47">
        <v>974.01</v>
      </c>
      <c r="N16" s="69">
        <v>1.4394000000000001E-2</v>
      </c>
      <c r="O16" s="69">
        <v>1.7188999999999999E-2</v>
      </c>
      <c r="P16" s="49"/>
      <c r="Q16" s="49"/>
      <c r="R16" s="47">
        <v>72</v>
      </c>
      <c r="S16" s="47">
        <v>287.74</v>
      </c>
      <c r="T16" s="85">
        <v>37.698</v>
      </c>
      <c r="U16" s="69">
        <v>1.8977000000000001E-5</v>
      </c>
      <c r="V16" s="85">
        <f t="shared" si="5"/>
        <v>5457.4</v>
      </c>
      <c r="W16" s="69">
        <v>6.4356999999999998E-2</v>
      </c>
      <c r="X16" s="69">
        <v>2.6526000000000001E-2</v>
      </c>
      <c r="Y16" s="69">
        <f t="shared" si="6"/>
        <v>2579000</v>
      </c>
      <c r="Z16" s="69">
        <f t="shared" si="7"/>
        <v>2770000</v>
      </c>
      <c r="AA16" s="47">
        <f t="shared" si="8"/>
        <v>5800.4</v>
      </c>
      <c r="AB16" s="47">
        <f t="shared" si="9"/>
        <v>2832.1</v>
      </c>
      <c r="AC16" s="47">
        <v>488.11</v>
      </c>
      <c r="AD16" s="48">
        <v>1.1914</v>
      </c>
      <c r="AF16" s="22">
        <v>1268.0999999999999</v>
      </c>
      <c r="AG16" s="13">
        <v>1277.9000000000001</v>
      </c>
      <c r="AH16" s="13">
        <v>3.1402000000000001</v>
      </c>
      <c r="AI16" s="13">
        <v>3.0707</v>
      </c>
      <c r="AJ16" s="13">
        <v>5.4429999999999996</v>
      </c>
      <c r="AK16" s="5"/>
      <c r="AL16" s="22">
        <v>2579</v>
      </c>
      <c r="AM16" s="13">
        <v>2770</v>
      </c>
      <c r="AN16" s="13">
        <v>5.8003999999999998</v>
      </c>
      <c r="AO16" s="13">
        <v>2.8321000000000001</v>
      </c>
      <c r="AP16" s="13">
        <v>5.4573999999999998</v>
      </c>
      <c r="AS16" s="5"/>
      <c r="AW16" s="5"/>
    </row>
    <row r="17" spans="1:49">
      <c r="A17" s="117"/>
      <c r="B17" s="89">
        <v>73</v>
      </c>
      <c r="C17" s="85">
        <v>288.68</v>
      </c>
      <c r="D17" s="85">
        <v>734.4</v>
      </c>
      <c r="E17" s="69">
        <v>9.0162999999999997E-5</v>
      </c>
      <c r="F17" s="85">
        <f t="shared" si="0"/>
        <v>5463.5</v>
      </c>
      <c r="G17" s="85">
        <v>0.56918000000000002</v>
      </c>
      <c r="H17" s="69">
        <v>1.3617E-3</v>
      </c>
      <c r="I17" s="69">
        <f t="shared" si="1"/>
        <v>1273000</v>
      </c>
      <c r="J17" s="69">
        <f t="shared" si="2"/>
        <v>1282900</v>
      </c>
      <c r="K17" s="47">
        <f t="shared" si="3"/>
        <v>3148.8999999999996</v>
      </c>
      <c r="L17" s="47">
        <f t="shared" si="4"/>
        <v>3069.1000000000004</v>
      </c>
      <c r="M17" s="47">
        <v>969.21</v>
      </c>
      <c r="N17" s="69">
        <v>1.4871000000000001E-2</v>
      </c>
      <c r="O17" s="69">
        <v>1.6969999999999999E-2</v>
      </c>
      <c r="P17" s="49"/>
      <c r="Q17" s="49"/>
      <c r="R17" s="47">
        <v>73</v>
      </c>
      <c r="S17" s="47">
        <v>288.68</v>
      </c>
      <c r="T17" s="85">
        <v>38.289000000000001</v>
      </c>
      <c r="U17" s="69">
        <v>1.9021E-5</v>
      </c>
      <c r="V17" s="85">
        <f t="shared" si="5"/>
        <v>5508.6</v>
      </c>
      <c r="W17" s="69">
        <v>6.4810000000000006E-2</v>
      </c>
      <c r="X17" s="69">
        <v>2.6117000000000001E-2</v>
      </c>
      <c r="Y17" s="69">
        <f t="shared" si="6"/>
        <v>2578000</v>
      </c>
      <c r="Z17" s="69">
        <f t="shared" si="7"/>
        <v>2768600</v>
      </c>
      <c r="AA17" s="47">
        <f t="shared" si="8"/>
        <v>5793.3</v>
      </c>
      <c r="AB17" s="47">
        <f t="shared" si="9"/>
        <v>2842.4</v>
      </c>
      <c r="AC17" s="47">
        <v>487.6</v>
      </c>
      <c r="AD17" s="48">
        <v>1.1826000000000001</v>
      </c>
      <c r="AF17" s="22">
        <v>1273</v>
      </c>
      <c r="AG17" s="13">
        <v>1282.9000000000001</v>
      </c>
      <c r="AH17" s="13">
        <v>3.1488999999999998</v>
      </c>
      <c r="AI17" s="13">
        <v>3.0691000000000002</v>
      </c>
      <c r="AJ17" s="13">
        <v>5.4634999999999998</v>
      </c>
      <c r="AK17" s="5"/>
      <c r="AL17" s="22">
        <v>2578</v>
      </c>
      <c r="AM17" s="13">
        <v>2768.6</v>
      </c>
      <c r="AN17" s="13">
        <v>5.7933000000000003</v>
      </c>
      <c r="AO17" s="13">
        <v>2.8424</v>
      </c>
      <c r="AP17" s="13">
        <v>5.5086000000000004</v>
      </c>
      <c r="AS17" s="5"/>
      <c r="AW17" s="5"/>
    </row>
    <row r="18" spans="1:49">
      <c r="A18" s="117"/>
      <c r="B18" s="89">
        <v>74</v>
      </c>
      <c r="C18" s="85">
        <v>289.61</v>
      </c>
      <c r="D18" s="85">
        <v>732.64</v>
      </c>
      <c r="E18" s="69">
        <v>8.9804999999999998E-5</v>
      </c>
      <c r="F18" s="85">
        <f t="shared" si="0"/>
        <v>5484.3</v>
      </c>
      <c r="G18" s="85">
        <v>0.56786000000000003</v>
      </c>
      <c r="H18" s="69">
        <v>1.3649000000000001E-3</v>
      </c>
      <c r="I18" s="69">
        <f t="shared" si="1"/>
        <v>1277800</v>
      </c>
      <c r="J18" s="69">
        <f t="shared" si="2"/>
        <v>1287900</v>
      </c>
      <c r="K18" s="47">
        <f t="shared" si="3"/>
        <v>3157.6</v>
      </c>
      <c r="L18" s="47">
        <f t="shared" si="4"/>
        <v>3067.6</v>
      </c>
      <c r="M18" s="47">
        <v>964.43</v>
      </c>
      <c r="N18" s="69">
        <v>1.5353E-2</v>
      </c>
      <c r="O18" s="69">
        <v>1.6754000000000002E-2</v>
      </c>
      <c r="P18" s="49"/>
      <c r="Q18" s="49"/>
      <c r="R18" s="47">
        <v>74</v>
      </c>
      <c r="S18" s="47">
        <v>289.61</v>
      </c>
      <c r="T18" s="85">
        <v>38.883000000000003</v>
      </c>
      <c r="U18" s="69">
        <v>1.9065000000000001E-5</v>
      </c>
      <c r="V18" s="85">
        <f t="shared" si="5"/>
        <v>5560.3</v>
      </c>
      <c r="W18" s="69">
        <v>6.5265000000000004E-2</v>
      </c>
      <c r="X18" s="69">
        <v>2.5718000000000001E-2</v>
      </c>
      <c r="Y18" s="69">
        <f t="shared" si="6"/>
        <v>2577000</v>
      </c>
      <c r="Z18" s="69">
        <f t="shared" si="7"/>
        <v>2767300</v>
      </c>
      <c r="AA18" s="47">
        <f t="shared" si="8"/>
        <v>5786.3</v>
      </c>
      <c r="AB18" s="47">
        <f t="shared" si="9"/>
        <v>2852.5</v>
      </c>
      <c r="AC18" s="47">
        <v>487.09</v>
      </c>
      <c r="AD18" s="48">
        <v>1.1739999999999999</v>
      </c>
      <c r="AF18" s="22">
        <v>1277.8</v>
      </c>
      <c r="AG18" s="13">
        <v>1287.9000000000001</v>
      </c>
      <c r="AH18" s="13">
        <v>3.1576</v>
      </c>
      <c r="AI18" s="13">
        <v>3.0676000000000001</v>
      </c>
      <c r="AJ18" s="13">
        <v>5.4843000000000002</v>
      </c>
      <c r="AK18" s="5"/>
      <c r="AL18" s="22">
        <v>2577</v>
      </c>
      <c r="AM18" s="13">
        <v>2767.3</v>
      </c>
      <c r="AN18" s="13">
        <v>5.7862999999999998</v>
      </c>
      <c r="AO18" s="13">
        <v>2.8525</v>
      </c>
      <c r="AP18" s="13">
        <v>5.5602999999999998</v>
      </c>
      <c r="AS18" s="5"/>
      <c r="AW18" s="5"/>
    </row>
    <row r="19" spans="1:49">
      <c r="A19" s="117"/>
      <c r="B19" s="89">
        <v>75</v>
      </c>
      <c r="C19" s="85">
        <v>290.54000000000002</v>
      </c>
      <c r="D19" s="85">
        <v>730.88</v>
      </c>
      <c r="E19" s="69">
        <v>8.9450999999999994E-5</v>
      </c>
      <c r="F19" s="85">
        <f t="shared" si="0"/>
        <v>5505.4</v>
      </c>
      <c r="G19" s="85">
        <v>0.56655999999999995</v>
      </c>
      <c r="H19" s="69">
        <v>1.3682E-3</v>
      </c>
      <c r="I19" s="69">
        <f t="shared" si="1"/>
        <v>1282700</v>
      </c>
      <c r="J19" s="69">
        <f t="shared" si="2"/>
        <v>1292900</v>
      </c>
      <c r="K19" s="47">
        <f t="shared" si="3"/>
        <v>3166.2</v>
      </c>
      <c r="L19" s="47">
        <f t="shared" si="4"/>
        <v>3066.1</v>
      </c>
      <c r="M19" s="47">
        <v>959.68</v>
      </c>
      <c r="N19" s="69">
        <v>1.5838000000000001E-2</v>
      </c>
      <c r="O19" s="69">
        <v>1.6539999999999999E-2</v>
      </c>
      <c r="P19" s="49"/>
      <c r="Q19" s="49"/>
      <c r="R19" s="47">
        <v>75</v>
      </c>
      <c r="S19" s="47">
        <v>290.54000000000002</v>
      </c>
      <c r="T19" s="85">
        <v>39.478999999999999</v>
      </c>
      <c r="U19" s="69">
        <v>1.9108999999999999E-5</v>
      </c>
      <c r="V19" s="85">
        <f t="shared" si="5"/>
        <v>5612.5</v>
      </c>
      <c r="W19" s="69">
        <v>6.5723000000000004E-2</v>
      </c>
      <c r="X19" s="69">
        <v>2.5329999999999998E-2</v>
      </c>
      <c r="Y19" s="69">
        <f t="shared" si="6"/>
        <v>2575900</v>
      </c>
      <c r="Z19" s="69">
        <f t="shared" si="7"/>
        <v>2765900</v>
      </c>
      <c r="AA19" s="47">
        <f t="shared" si="8"/>
        <v>5779.3</v>
      </c>
      <c r="AB19" s="47">
        <f t="shared" si="9"/>
        <v>2862.7</v>
      </c>
      <c r="AC19" s="47">
        <v>486.58</v>
      </c>
      <c r="AD19" s="48">
        <v>1.1656</v>
      </c>
      <c r="AF19" s="22">
        <v>1282.7</v>
      </c>
      <c r="AG19" s="13">
        <v>1292.9000000000001</v>
      </c>
      <c r="AH19" s="13">
        <v>3.1661999999999999</v>
      </c>
      <c r="AI19" s="13">
        <v>3.0661</v>
      </c>
      <c r="AJ19" s="13">
        <v>5.5053999999999998</v>
      </c>
      <c r="AK19" s="5"/>
      <c r="AL19" s="22">
        <v>2575.9</v>
      </c>
      <c r="AM19" s="13">
        <v>2765.9</v>
      </c>
      <c r="AN19" s="13">
        <v>5.7793000000000001</v>
      </c>
      <c r="AO19" s="13">
        <v>2.8626999999999998</v>
      </c>
      <c r="AP19" s="13">
        <v>5.6124999999999998</v>
      </c>
      <c r="AS19" s="5"/>
      <c r="AW19" s="5"/>
    </row>
    <row r="20" spans="1:49">
      <c r="A20" s="117"/>
      <c r="B20" s="89">
        <v>76</v>
      </c>
      <c r="C20" s="85">
        <v>291.45</v>
      </c>
      <c r="D20" s="85">
        <v>729.14</v>
      </c>
      <c r="E20" s="69">
        <v>8.9102000000000002E-5</v>
      </c>
      <c r="F20" s="85">
        <f t="shared" si="0"/>
        <v>5526.6</v>
      </c>
      <c r="G20" s="85">
        <v>0.56525000000000003</v>
      </c>
      <c r="H20" s="69">
        <v>1.3715000000000001E-3</v>
      </c>
      <c r="I20" s="69">
        <f t="shared" si="1"/>
        <v>1287400</v>
      </c>
      <c r="J20" s="69">
        <f t="shared" si="2"/>
        <v>1297900</v>
      </c>
      <c r="K20" s="47">
        <f t="shared" si="3"/>
        <v>3174.7000000000003</v>
      </c>
      <c r="L20" s="47">
        <f t="shared" si="4"/>
        <v>3064.6</v>
      </c>
      <c r="M20" s="47">
        <v>954.95</v>
      </c>
      <c r="N20" s="69">
        <v>1.6327999999999999E-2</v>
      </c>
      <c r="O20" s="69">
        <v>1.6329E-2</v>
      </c>
      <c r="P20" s="49"/>
      <c r="Q20" s="49"/>
      <c r="R20" s="47">
        <v>76</v>
      </c>
      <c r="S20" s="47">
        <v>291.45</v>
      </c>
      <c r="T20" s="85">
        <v>40.079000000000001</v>
      </c>
      <c r="U20" s="69">
        <v>1.9151999999999999E-5</v>
      </c>
      <c r="V20" s="85">
        <f t="shared" si="5"/>
        <v>5665.3</v>
      </c>
      <c r="W20" s="69">
        <v>6.6184000000000007E-2</v>
      </c>
      <c r="X20" s="69">
        <v>2.4951000000000001E-2</v>
      </c>
      <c r="Y20" s="69">
        <f t="shared" si="6"/>
        <v>2574900</v>
      </c>
      <c r="Z20" s="69">
        <f t="shared" si="7"/>
        <v>2764500</v>
      </c>
      <c r="AA20" s="47">
        <f t="shared" si="8"/>
        <v>5772.3</v>
      </c>
      <c r="AB20" s="47">
        <f t="shared" si="9"/>
        <v>2872.7999999999997</v>
      </c>
      <c r="AC20" s="47">
        <v>486.06</v>
      </c>
      <c r="AD20" s="48">
        <v>1.1573</v>
      </c>
      <c r="AF20" s="22">
        <v>1287.4000000000001</v>
      </c>
      <c r="AG20" s="13">
        <v>1297.9000000000001</v>
      </c>
      <c r="AH20" s="13">
        <v>3.1747000000000001</v>
      </c>
      <c r="AI20" s="13">
        <v>3.0646</v>
      </c>
      <c r="AJ20" s="13">
        <v>5.5266000000000002</v>
      </c>
      <c r="AK20" s="5"/>
      <c r="AL20" s="22">
        <v>2574.9</v>
      </c>
      <c r="AM20" s="13">
        <v>2764.5</v>
      </c>
      <c r="AN20" s="13">
        <v>5.7723000000000004</v>
      </c>
      <c r="AO20" s="13">
        <v>2.8727999999999998</v>
      </c>
      <c r="AP20" s="13">
        <v>5.6653000000000002</v>
      </c>
      <c r="AS20" s="5"/>
      <c r="AW20" s="5"/>
    </row>
    <row r="21" spans="1:49">
      <c r="A21" s="117"/>
      <c r="B21" s="89">
        <v>77</v>
      </c>
      <c r="C21" s="85">
        <v>292.35000000000002</v>
      </c>
      <c r="D21" s="85">
        <v>727.39</v>
      </c>
      <c r="E21" s="69">
        <v>8.8756000000000002E-5</v>
      </c>
      <c r="F21" s="85">
        <f t="shared" si="0"/>
        <v>5548.0999999999995</v>
      </c>
      <c r="G21" s="85">
        <v>0.56396000000000002</v>
      </c>
      <c r="H21" s="69">
        <v>1.3748E-3</v>
      </c>
      <c r="I21" s="69">
        <f t="shared" si="1"/>
        <v>1292200</v>
      </c>
      <c r="J21" s="69">
        <f t="shared" si="2"/>
        <v>1302800</v>
      </c>
      <c r="K21" s="47">
        <f t="shared" si="3"/>
        <v>3183.2</v>
      </c>
      <c r="L21" s="47">
        <f t="shared" si="4"/>
        <v>3063.2999999999997</v>
      </c>
      <c r="M21" s="47">
        <v>950.24</v>
      </c>
      <c r="N21" s="69">
        <v>1.6820999999999999E-2</v>
      </c>
      <c r="O21" s="69">
        <v>1.6119999999999999E-2</v>
      </c>
      <c r="P21" s="49"/>
      <c r="Q21" s="49"/>
      <c r="R21" s="47">
        <v>77</v>
      </c>
      <c r="S21" s="47">
        <v>292.35000000000002</v>
      </c>
      <c r="T21" s="85">
        <v>40.680999999999997</v>
      </c>
      <c r="U21" s="69">
        <v>1.9196000000000001E-5</v>
      </c>
      <c r="V21" s="85">
        <f t="shared" si="5"/>
        <v>5718.7</v>
      </c>
      <c r="W21" s="69">
        <v>6.6646999999999998E-2</v>
      </c>
      <c r="X21" s="69">
        <v>2.4580999999999999E-2</v>
      </c>
      <c r="Y21" s="69">
        <f t="shared" si="6"/>
        <v>2573800</v>
      </c>
      <c r="Z21" s="69">
        <f t="shared" si="7"/>
        <v>2763100</v>
      </c>
      <c r="AA21" s="47">
        <f t="shared" si="8"/>
        <v>5765.4</v>
      </c>
      <c r="AB21" s="47">
        <f t="shared" si="9"/>
        <v>2882.8999999999996</v>
      </c>
      <c r="AC21" s="47">
        <v>485.54</v>
      </c>
      <c r="AD21" s="48">
        <v>1.1492</v>
      </c>
      <c r="AF21" s="22">
        <v>1292.2</v>
      </c>
      <c r="AG21" s="13">
        <v>1302.8</v>
      </c>
      <c r="AH21" s="13">
        <v>3.1831999999999998</v>
      </c>
      <c r="AI21" s="13">
        <v>3.0632999999999999</v>
      </c>
      <c r="AJ21" s="13">
        <v>5.5480999999999998</v>
      </c>
      <c r="AK21" s="5"/>
      <c r="AL21" s="22">
        <v>2573.8000000000002</v>
      </c>
      <c r="AM21" s="13">
        <v>2763.1</v>
      </c>
      <c r="AN21" s="13">
        <v>5.7653999999999996</v>
      </c>
      <c r="AO21" s="13">
        <v>2.8828999999999998</v>
      </c>
      <c r="AP21" s="13">
        <v>5.7187000000000001</v>
      </c>
      <c r="AS21" s="5"/>
      <c r="AW21" s="5"/>
    </row>
    <row r="22" spans="1:49">
      <c r="A22" s="117"/>
      <c r="B22" s="89">
        <v>78</v>
      </c>
      <c r="C22" s="85">
        <v>293.25</v>
      </c>
      <c r="D22" s="85">
        <v>725.66</v>
      </c>
      <c r="E22" s="69">
        <v>8.8415E-5</v>
      </c>
      <c r="F22" s="85">
        <f t="shared" si="0"/>
        <v>5569.8</v>
      </c>
      <c r="G22" s="85">
        <v>0.56267</v>
      </c>
      <c r="H22" s="69">
        <v>1.3780999999999999E-3</v>
      </c>
      <c r="I22" s="69">
        <f t="shared" si="1"/>
        <v>1296900</v>
      </c>
      <c r="J22" s="69">
        <f t="shared" si="2"/>
        <v>1307700</v>
      </c>
      <c r="K22" s="47">
        <f t="shared" si="3"/>
        <v>3191.5</v>
      </c>
      <c r="L22" s="47">
        <f t="shared" si="4"/>
        <v>3061.9</v>
      </c>
      <c r="M22" s="47">
        <v>945.56</v>
      </c>
      <c r="N22" s="69">
        <v>1.7319999999999999E-2</v>
      </c>
      <c r="O22" s="69">
        <v>1.5913E-2</v>
      </c>
      <c r="P22" s="49"/>
      <c r="Q22" s="49"/>
      <c r="R22" s="47">
        <v>78</v>
      </c>
      <c r="S22" s="47">
        <v>293.25</v>
      </c>
      <c r="T22" s="85">
        <v>41.286999999999999</v>
      </c>
      <c r="U22" s="69">
        <v>1.9239E-5</v>
      </c>
      <c r="V22" s="85">
        <f t="shared" si="5"/>
        <v>5772.5999999999995</v>
      </c>
      <c r="W22" s="69">
        <v>6.7113000000000006E-2</v>
      </c>
      <c r="X22" s="69">
        <v>2.4220999999999999E-2</v>
      </c>
      <c r="Y22" s="69">
        <f t="shared" si="6"/>
        <v>2572700</v>
      </c>
      <c r="Z22" s="69">
        <f t="shared" si="7"/>
        <v>2761600</v>
      </c>
      <c r="AA22" s="47">
        <f t="shared" si="8"/>
        <v>5758.6</v>
      </c>
      <c r="AB22" s="47">
        <f t="shared" si="9"/>
        <v>2892.9</v>
      </c>
      <c r="AC22" s="47">
        <v>485.01</v>
      </c>
      <c r="AD22" s="48">
        <v>1.1411</v>
      </c>
      <c r="AF22" s="22">
        <v>1296.9000000000001</v>
      </c>
      <c r="AG22" s="13">
        <v>1307.7</v>
      </c>
      <c r="AH22" s="13">
        <v>3.1915</v>
      </c>
      <c r="AI22" s="13">
        <v>3.0619000000000001</v>
      </c>
      <c r="AJ22" s="13">
        <v>5.5697999999999999</v>
      </c>
      <c r="AK22" s="5"/>
      <c r="AL22" s="22">
        <v>2572.6999999999998</v>
      </c>
      <c r="AM22" s="13">
        <v>2761.6</v>
      </c>
      <c r="AN22" s="13">
        <v>5.7586000000000004</v>
      </c>
      <c r="AO22" s="13">
        <v>2.8929</v>
      </c>
      <c r="AP22" s="13">
        <v>5.7725999999999997</v>
      </c>
      <c r="AS22" s="5"/>
      <c r="AW22" s="5"/>
    </row>
    <row r="23" spans="1:49">
      <c r="A23" s="117"/>
      <c r="B23" s="89">
        <v>79</v>
      </c>
      <c r="C23" s="85">
        <v>294.13</v>
      </c>
      <c r="D23" s="85">
        <v>723.92</v>
      </c>
      <c r="E23" s="69">
        <v>8.8078000000000006E-5</v>
      </c>
      <c r="F23" s="85">
        <f t="shared" si="0"/>
        <v>5591.8</v>
      </c>
      <c r="G23" s="85">
        <v>0.56137999999999999</v>
      </c>
      <c r="H23" s="69">
        <v>1.3814000000000001E-3</v>
      </c>
      <c r="I23" s="69">
        <f t="shared" si="1"/>
        <v>1301600</v>
      </c>
      <c r="J23" s="69">
        <f t="shared" si="2"/>
        <v>1312500</v>
      </c>
      <c r="K23" s="47">
        <f t="shared" si="3"/>
        <v>3199.8</v>
      </c>
      <c r="L23" s="47">
        <f t="shared" si="4"/>
        <v>3060.6</v>
      </c>
      <c r="M23" s="47">
        <v>940.9</v>
      </c>
      <c r="N23" s="69">
        <v>1.7822000000000001E-2</v>
      </c>
      <c r="O23" s="69">
        <v>1.5709000000000001E-2</v>
      </c>
      <c r="P23" s="49"/>
      <c r="Q23" s="49"/>
      <c r="R23" s="47">
        <v>79</v>
      </c>
      <c r="S23" s="47">
        <v>294.13</v>
      </c>
      <c r="T23" s="85">
        <v>41.895000000000003</v>
      </c>
      <c r="U23" s="69">
        <v>1.9281999999999999E-5</v>
      </c>
      <c r="V23" s="85">
        <f t="shared" si="5"/>
        <v>5827.0999999999995</v>
      </c>
      <c r="W23" s="69">
        <v>6.7583000000000004E-2</v>
      </c>
      <c r="X23" s="69">
        <v>2.3869000000000001E-2</v>
      </c>
      <c r="Y23" s="69">
        <f t="shared" si="6"/>
        <v>2571600</v>
      </c>
      <c r="Z23" s="69">
        <f t="shared" si="7"/>
        <v>2760200</v>
      </c>
      <c r="AA23" s="47">
        <f t="shared" si="8"/>
        <v>5751.8</v>
      </c>
      <c r="AB23" s="47">
        <f t="shared" si="9"/>
        <v>2902.8999999999996</v>
      </c>
      <c r="AC23" s="47">
        <v>484.48</v>
      </c>
      <c r="AD23" s="48">
        <v>1.1332</v>
      </c>
      <c r="AF23" s="22">
        <v>1301.5999999999999</v>
      </c>
      <c r="AG23" s="13">
        <v>1312.5</v>
      </c>
      <c r="AH23" s="13">
        <v>3.1998000000000002</v>
      </c>
      <c r="AI23" s="13">
        <v>3.0606</v>
      </c>
      <c r="AJ23" s="13">
        <v>5.5918000000000001</v>
      </c>
      <c r="AK23" s="5"/>
      <c r="AL23" s="22">
        <v>2571.6</v>
      </c>
      <c r="AM23" s="13">
        <v>2760.2</v>
      </c>
      <c r="AN23" s="13">
        <v>5.7518000000000002</v>
      </c>
      <c r="AO23" s="13">
        <v>2.9028999999999998</v>
      </c>
      <c r="AP23" s="13">
        <v>5.8270999999999997</v>
      </c>
      <c r="AS23" s="5"/>
      <c r="AW23" s="5"/>
    </row>
    <row r="24" spans="1:49">
      <c r="A24" s="117"/>
      <c r="B24" s="89">
        <v>80</v>
      </c>
      <c r="C24" s="85">
        <v>295.01</v>
      </c>
      <c r="D24" s="85">
        <v>722.2</v>
      </c>
      <c r="E24" s="69">
        <v>8.7744999999999994E-5</v>
      </c>
      <c r="F24" s="85">
        <f t="shared" si="0"/>
        <v>5614.0999999999995</v>
      </c>
      <c r="G24" s="85">
        <v>0.56010000000000004</v>
      </c>
      <c r="H24" s="69">
        <v>1.3847E-3</v>
      </c>
      <c r="I24" s="69">
        <f t="shared" si="1"/>
        <v>1306200</v>
      </c>
      <c r="J24" s="69">
        <f t="shared" si="2"/>
        <v>1317300</v>
      </c>
      <c r="K24" s="47">
        <f t="shared" si="3"/>
        <v>3208.1</v>
      </c>
      <c r="L24" s="47">
        <f t="shared" si="4"/>
        <v>3059.4</v>
      </c>
      <c r="M24" s="47">
        <v>936.26</v>
      </c>
      <c r="N24" s="69">
        <v>1.8329000000000002E-2</v>
      </c>
      <c r="O24" s="69">
        <v>1.5507E-2</v>
      </c>
      <c r="P24" s="49"/>
      <c r="Q24" s="49"/>
      <c r="R24" s="47">
        <v>80</v>
      </c>
      <c r="S24" s="47">
        <v>295.01</v>
      </c>
      <c r="T24" s="85">
        <v>42.506999999999998</v>
      </c>
      <c r="U24" s="69">
        <v>1.9326000000000001E-5</v>
      </c>
      <c r="V24" s="85">
        <f t="shared" si="5"/>
        <v>5882.3</v>
      </c>
      <c r="W24" s="69">
        <v>6.8055000000000004E-2</v>
      </c>
      <c r="X24" s="69">
        <v>2.3525999999999998E-2</v>
      </c>
      <c r="Y24" s="69">
        <f t="shared" si="6"/>
        <v>2570500</v>
      </c>
      <c r="Z24" s="69">
        <f t="shared" si="7"/>
        <v>2758700</v>
      </c>
      <c r="AA24" s="47">
        <f t="shared" si="8"/>
        <v>5745</v>
      </c>
      <c r="AB24" s="47">
        <f t="shared" si="9"/>
        <v>2912.7999999999997</v>
      </c>
      <c r="AC24" s="47">
        <v>483.94</v>
      </c>
      <c r="AD24" s="48">
        <v>1.1254999999999999</v>
      </c>
      <c r="AF24" s="22">
        <v>1306.2</v>
      </c>
      <c r="AG24" s="13">
        <v>1317.3</v>
      </c>
      <c r="AH24" s="13">
        <v>3.2081</v>
      </c>
      <c r="AI24" s="13">
        <v>3.0594000000000001</v>
      </c>
      <c r="AJ24" s="13">
        <v>5.6140999999999996</v>
      </c>
      <c r="AK24" s="5"/>
      <c r="AL24" s="22">
        <v>2570.5</v>
      </c>
      <c r="AM24" s="13">
        <v>2758.7</v>
      </c>
      <c r="AN24" s="13">
        <v>5.7450000000000001</v>
      </c>
      <c r="AO24" s="13">
        <v>2.9127999999999998</v>
      </c>
      <c r="AP24" s="13">
        <v>5.8822999999999999</v>
      </c>
      <c r="AS24" s="5"/>
      <c r="AW24" s="5"/>
    </row>
    <row r="25" spans="1:49">
      <c r="A25" s="117"/>
      <c r="B25" s="89">
        <v>81</v>
      </c>
      <c r="C25" s="85">
        <v>295.88</v>
      </c>
      <c r="D25" s="85">
        <v>720.47</v>
      </c>
      <c r="E25" s="69">
        <v>8.7415000000000002E-5</v>
      </c>
      <c r="F25" s="85">
        <f t="shared" si="0"/>
        <v>5636.5999999999995</v>
      </c>
      <c r="G25" s="85">
        <v>0.55881999999999998</v>
      </c>
      <c r="H25" s="69">
        <v>1.3879999999999999E-3</v>
      </c>
      <c r="I25" s="69">
        <f t="shared" si="1"/>
        <v>1310900</v>
      </c>
      <c r="J25" s="69">
        <f t="shared" si="2"/>
        <v>1322100</v>
      </c>
      <c r="K25" s="47">
        <f t="shared" si="3"/>
        <v>3216.2000000000003</v>
      </c>
      <c r="L25" s="47">
        <f t="shared" si="4"/>
        <v>3058.2</v>
      </c>
      <c r="M25" s="47">
        <v>931.64</v>
      </c>
      <c r="N25" s="69">
        <v>1.8839999999999999E-2</v>
      </c>
      <c r="O25" s="69">
        <v>1.5306999999999999E-2</v>
      </c>
      <c r="P25" s="49"/>
      <c r="Q25" s="49"/>
      <c r="R25" s="47">
        <v>81</v>
      </c>
      <c r="S25" s="47">
        <v>295.88</v>
      </c>
      <c r="T25" s="85">
        <v>43.122</v>
      </c>
      <c r="U25" s="69">
        <v>1.9369E-5</v>
      </c>
      <c r="V25" s="85">
        <f t="shared" si="5"/>
        <v>5938.1</v>
      </c>
      <c r="W25" s="69">
        <v>6.8529999999999994E-2</v>
      </c>
      <c r="X25" s="69">
        <v>2.3189999999999999E-2</v>
      </c>
      <c r="Y25" s="69">
        <f t="shared" si="6"/>
        <v>2569300</v>
      </c>
      <c r="Z25" s="69">
        <f t="shared" si="7"/>
        <v>2757200</v>
      </c>
      <c r="AA25" s="47">
        <f t="shared" si="8"/>
        <v>5738.3</v>
      </c>
      <c r="AB25" s="47">
        <f t="shared" si="9"/>
        <v>2922.8</v>
      </c>
      <c r="AC25" s="47">
        <v>483.41</v>
      </c>
      <c r="AD25" s="48">
        <v>1.1177999999999999</v>
      </c>
      <c r="AF25" s="22">
        <v>1310.9</v>
      </c>
      <c r="AG25" s="13">
        <v>1322.1</v>
      </c>
      <c r="AH25" s="13">
        <v>3.2162000000000002</v>
      </c>
      <c r="AI25" s="13">
        <v>3.0581999999999998</v>
      </c>
      <c r="AJ25" s="13">
        <v>5.6365999999999996</v>
      </c>
      <c r="AK25" s="5"/>
      <c r="AL25" s="22">
        <v>2569.3000000000002</v>
      </c>
      <c r="AM25" s="13">
        <v>2757.2</v>
      </c>
      <c r="AN25" s="13">
        <v>5.7382999999999997</v>
      </c>
      <c r="AO25" s="13">
        <v>2.9228000000000001</v>
      </c>
      <c r="AP25" s="13">
        <v>5.9381000000000004</v>
      </c>
      <c r="AS25" s="5"/>
      <c r="AW25" s="5"/>
    </row>
    <row r="26" spans="1:49">
      <c r="A26" s="117"/>
      <c r="B26" s="89">
        <v>82</v>
      </c>
      <c r="C26" s="85">
        <v>296.74</v>
      </c>
      <c r="D26" s="85">
        <v>718.76</v>
      </c>
      <c r="E26" s="69">
        <v>8.7089000000000006E-5</v>
      </c>
      <c r="F26" s="85">
        <f t="shared" si="0"/>
        <v>5659.4</v>
      </c>
      <c r="G26" s="85">
        <v>0.55754000000000004</v>
      </c>
      <c r="H26" s="69">
        <v>1.3913E-3</v>
      </c>
      <c r="I26" s="69">
        <f t="shared" si="1"/>
        <v>1315400</v>
      </c>
      <c r="J26" s="69">
        <f t="shared" si="2"/>
        <v>1326800</v>
      </c>
      <c r="K26" s="47">
        <f t="shared" si="3"/>
        <v>3224.2999999999997</v>
      </c>
      <c r="L26" s="47">
        <f t="shared" si="4"/>
        <v>3057</v>
      </c>
      <c r="M26" s="47">
        <v>927.04</v>
      </c>
      <c r="N26" s="69">
        <v>1.9356000000000002E-2</v>
      </c>
      <c r="O26" s="69">
        <v>1.5108999999999999E-2</v>
      </c>
      <c r="P26" s="49"/>
      <c r="Q26" s="49"/>
      <c r="R26" s="47">
        <v>82</v>
      </c>
      <c r="S26" s="47">
        <v>296.74</v>
      </c>
      <c r="T26" s="85">
        <v>43.74</v>
      </c>
      <c r="U26" s="69">
        <v>1.9412E-5</v>
      </c>
      <c r="V26" s="85">
        <f t="shared" si="5"/>
        <v>5994.5</v>
      </c>
      <c r="W26" s="69">
        <v>6.9009000000000001E-2</v>
      </c>
      <c r="X26" s="69">
        <v>2.2863000000000001E-2</v>
      </c>
      <c r="Y26" s="69">
        <f t="shared" si="6"/>
        <v>2568200</v>
      </c>
      <c r="Z26" s="69">
        <f t="shared" si="7"/>
        <v>2755700</v>
      </c>
      <c r="AA26" s="47">
        <f t="shared" si="8"/>
        <v>5731.6</v>
      </c>
      <c r="AB26" s="47">
        <f t="shared" si="9"/>
        <v>2932.7000000000003</v>
      </c>
      <c r="AC26" s="47">
        <v>482.86</v>
      </c>
      <c r="AD26" s="48">
        <v>1.1103000000000001</v>
      </c>
      <c r="AF26" s="22">
        <v>1315.4</v>
      </c>
      <c r="AG26" s="13">
        <v>1326.8</v>
      </c>
      <c r="AH26" s="13">
        <v>3.2242999999999999</v>
      </c>
      <c r="AI26" s="13">
        <v>3.0569999999999999</v>
      </c>
      <c r="AJ26" s="13">
        <v>5.6593999999999998</v>
      </c>
      <c r="AK26" s="5"/>
      <c r="AL26" s="22">
        <v>2568.1999999999998</v>
      </c>
      <c r="AM26" s="13">
        <v>2755.7</v>
      </c>
      <c r="AN26" s="13">
        <v>5.7316000000000003</v>
      </c>
      <c r="AO26" s="13">
        <v>2.9327000000000001</v>
      </c>
      <c r="AP26" s="13">
        <v>5.9945000000000004</v>
      </c>
      <c r="AS26" s="5"/>
      <c r="AW26" s="5"/>
    </row>
    <row r="27" spans="1:49">
      <c r="A27" s="117"/>
      <c r="B27" s="89">
        <v>83</v>
      </c>
      <c r="C27" s="85">
        <v>297.58999999999997</v>
      </c>
      <c r="D27" s="85">
        <v>717.04</v>
      </c>
      <c r="E27" s="69">
        <v>8.6766000000000002E-5</v>
      </c>
      <c r="F27" s="85">
        <f t="shared" si="0"/>
        <v>5682.4000000000005</v>
      </c>
      <c r="G27" s="85">
        <v>0.55628</v>
      </c>
      <c r="H27" s="69">
        <v>1.3946E-3</v>
      </c>
      <c r="I27" s="69">
        <f t="shared" si="1"/>
        <v>1320000</v>
      </c>
      <c r="J27" s="69">
        <f t="shared" si="2"/>
        <v>1331600</v>
      </c>
      <c r="K27" s="47">
        <f t="shared" si="3"/>
        <v>3232.4</v>
      </c>
      <c r="L27" s="47">
        <f t="shared" si="4"/>
        <v>3055.8999999999996</v>
      </c>
      <c r="M27" s="47">
        <v>922.47</v>
      </c>
      <c r="N27" s="69">
        <v>1.9876999999999999E-2</v>
      </c>
      <c r="O27" s="69">
        <v>1.4912999999999999E-2</v>
      </c>
      <c r="P27" s="49"/>
      <c r="Q27" s="49"/>
      <c r="R27" s="47">
        <v>83</v>
      </c>
      <c r="S27" s="47">
        <v>297.58999999999997</v>
      </c>
      <c r="T27" s="85">
        <v>44.360999999999997</v>
      </c>
      <c r="U27" s="69">
        <v>1.9454999999999999E-5</v>
      </c>
      <c r="V27" s="85">
        <f t="shared" si="5"/>
        <v>6051.5</v>
      </c>
      <c r="W27" s="69">
        <v>6.9490999999999997E-2</v>
      </c>
      <c r="X27" s="69">
        <v>2.2542E-2</v>
      </c>
      <c r="Y27" s="69">
        <f t="shared" si="6"/>
        <v>2567000</v>
      </c>
      <c r="Z27" s="69">
        <f t="shared" si="7"/>
        <v>2754100</v>
      </c>
      <c r="AA27" s="47">
        <f t="shared" si="8"/>
        <v>5724.9</v>
      </c>
      <c r="AB27" s="47">
        <f t="shared" si="9"/>
        <v>2942.5</v>
      </c>
      <c r="AC27" s="47">
        <v>482.32</v>
      </c>
      <c r="AD27" s="48">
        <v>1.1029</v>
      </c>
      <c r="AF27" s="22">
        <v>1320</v>
      </c>
      <c r="AG27" s="13">
        <v>1331.6</v>
      </c>
      <c r="AH27" s="13">
        <v>3.2324000000000002</v>
      </c>
      <c r="AI27" s="13">
        <v>3.0558999999999998</v>
      </c>
      <c r="AJ27" s="13">
        <v>5.6824000000000003</v>
      </c>
      <c r="AK27" s="5"/>
      <c r="AL27" s="22">
        <v>2567</v>
      </c>
      <c r="AM27" s="13">
        <v>2754.1</v>
      </c>
      <c r="AN27" s="13">
        <v>5.7248999999999999</v>
      </c>
      <c r="AO27" s="13">
        <v>2.9424999999999999</v>
      </c>
      <c r="AP27" s="13">
        <v>6.0514999999999999</v>
      </c>
      <c r="AS27" s="5"/>
      <c r="AW27" s="5"/>
    </row>
    <row r="28" spans="1:49">
      <c r="A28" s="117"/>
      <c r="B28" s="89">
        <v>84</v>
      </c>
      <c r="C28" s="85">
        <v>298.43</v>
      </c>
      <c r="D28" s="85">
        <v>715.34</v>
      </c>
      <c r="E28" s="69">
        <v>8.6446999999999994E-5</v>
      </c>
      <c r="F28" s="85">
        <f t="shared" si="0"/>
        <v>5705.8</v>
      </c>
      <c r="G28" s="85">
        <v>0.55501</v>
      </c>
      <c r="H28" s="69">
        <v>1.3979000000000001E-3</v>
      </c>
      <c r="I28" s="69">
        <f t="shared" si="1"/>
        <v>1324500</v>
      </c>
      <c r="J28" s="69">
        <f t="shared" si="2"/>
        <v>1336300</v>
      </c>
      <c r="K28" s="47">
        <f t="shared" si="3"/>
        <v>3240.3</v>
      </c>
      <c r="L28" s="47">
        <f t="shared" si="4"/>
        <v>3054.9</v>
      </c>
      <c r="M28" s="47">
        <v>917.91</v>
      </c>
      <c r="N28" s="69">
        <v>2.0402E-2</v>
      </c>
      <c r="O28" s="69">
        <v>1.4718999999999999E-2</v>
      </c>
      <c r="P28" s="49"/>
      <c r="Q28" s="49"/>
      <c r="R28" s="47">
        <v>84</v>
      </c>
      <c r="S28" s="47">
        <v>298.43</v>
      </c>
      <c r="T28" s="85">
        <v>44.984999999999999</v>
      </c>
      <c r="U28" s="69">
        <v>1.9499000000000001E-5</v>
      </c>
      <c r="V28" s="85">
        <f t="shared" si="5"/>
        <v>6109.3</v>
      </c>
      <c r="W28" s="69">
        <v>6.9976999999999998E-2</v>
      </c>
      <c r="X28" s="69">
        <v>2.2228999999999999E-2</v>
      </c>
      <c r="Y28" s="69">
        <f t="shared" si="6"/>
        <v>2565900</v>
      </c>
      <c r="Z28" s="69">
        <f t="shared" si="7"/>
        <v>2752600</v>
      </c>
      <c r="AA28" s="47">
        <f t="shared" si="8"/>
        <v>5718.3</v>
      </c>
      <c r="AB28" s="47">
        <f t="shared" si="9"/>
        <v>2952.4</v>
      </c>
      <c r="AC28" s="47">
        <v>481.77</v>
      </c>
      <c r="AD28" s="48">
        <v>1.0955999999999999</v>
      </c>
      <c r="AF28" s="22">
        <v>1324.5</v>
      </c>
      <c r="AG28" s="13">
        <v>1336.3</v>
      </c>
      <c r="AH28" s="13">
        <v>3.2403</v>
      </c>
      <c r="AI28" s="13">
        <v>3.0548999999999999</v>
      </c>
      <c r="AJ28" s="13">
        <v>5.7058</v>
      </c>
      <c r="AK28" s="5"/>
      <c r="AL28" s="22">
        <v>2565.9</v>
      </c>
      <c r="AM28" s="13">
        <v>2752.6</v>
      </c>
      <c r="AN28" s="13">
        <v>5.7183000000000002</v>
      </c>
      <c r="AO28" s="13">
        <v>2.9523999999999999</v>
      </c>
      <c r="AP28" s="13">
        <v>6.1093000000000002</v>
      </c>
      <c r="AS28" s="5"/>
      <c r="AW28" s="5"/>
    </row>
    <row r="29" spans="1:49">
      <c r="A29" s="117"/>
      <c r="B29" s="89">
        <v>85</v>
      </c>
      <c r="C29" s="85">
        <v>299.27</v>
      </c>
      <c r="D29" s="85">
        <v>713.63</v>
      </c>
      <c r="E29" s="69">
        <v>8.6131000000000006E-5</v>
      </c>
      <c r="F29" s="85">
        <f t="shared" si="0"/>
        <v>5729.4</v>
      </c>
      <c r="G29" s="85">
        <v>0.55374999999999996</v>
      </c>
      <c r="H29" s="69">
        <v>1.4013000000000001E-3</v>
      </c>
      <c r="I29" s="69">
        <f t="shared" si="1"/>
        <v>1329000</v>
      </c>
      <c r="J29" s="69">
        <f t="shared" si="2"/>
        <v>1340900</v>
      </c>
      <c r="K29" s="47">
        <f t="shared" si="3"/>
        <v>3248.3</v>
      </c>
      <c r="L29" s="47">
        <f t="shared" si="4"/>
        <v>3053.9</v>
      </c>
      <c r="M29" s="47">
        <v>913.37</v>
      </c>
      <c r="N29" s="69">
        <v>2.0931999999999999E-2</v>
      </c>
      <c r="O29" s="69">
        <v>1.4527E-2</v>
      </c>
      <c r="P29" s="49"/>
      <c r="Q29" s="49"/>
      <c r="R29" s="47">
        <v>85</v>
      </c>
      <c r="S29" s="47">
        <v>299.27</v>
      </c>
      <c r="T29" s="85">
        <v>45.613</v>
      </c>
      <c r="U29" s="69">
        <v>1.9542E-5</v>
      </c>
      <c r="V29" s="85">
        <f t="shared" si="5"/>
        <v>6167.7</v>
      </c>
      <c r="W29" s="69">
        <v>7.0466000000000001E-2</v>
      </c>
      <c r="X29" s="69">
        <v>2.1923000000000002E-2</v>
      </c>
      <c r="Y29" s="69">
        <f t="shared" si="6"/>
        <v>2564700</v>
      </c>
      <c r="Z29" s="69">
        <f t="shared" si="7"/>
        <v>2751000</v>
      </c>
      <c r="AA29" s="47">
        <f t="shared" si="8"/>
        <v>5711.7000000000007</v>
      </c>
      <c r="AB29" s="47">
        <f t="shared" si="9"/>
        <v>2962.2000000000003</v>
      </c>
      <c r="AC29" s="47">
        <v>481.22</v>
      </c>
      <c r="AD29" s="48">
        <v>1.0884</v>
      </c>
      <c r="AF29" s="22">
        <v>1329</v>
      </c>
      <c r="AG29" s="13">
        <v>1340.9</v>
      </c>
      <c r="AH29" s="13">
        <v>3.2483</v>
      </c>
      <c r="AI29" s="13">
        <v>3.0539000000000001</v>
      </c>
      <c r="AJ29" s="13">
        <v>5.7294</v>
      </c>
      <c r="AK29" s="5"/>
      <c r="AL29" s="22">
        <v>2564.6999999999998</v>
      </c>
      <c r="AM29" s="13">
        <v>2751</v>
      </c>
      <c r="AN29" s="13">
        <v>5.7117000000000004</v>
      </c>
      <c r="AO29" s="13">
        <v>2.9622000000000002</v>
      </c>
      <c r="AP29" s="13">
        <v>6.1677</v>
      </c>
      <c r="AS29" s="5"/>
      <c r="AW29" s="5"/>
    </row>
    <row r="30" spans="1:49">
      <c r="A30" s="117"/>
      <c r="B30" s="89">
        <v>86</v>
      </c>
      <c r="C30" s="85">
        <v>300.10000000000002</v>
      </c>
      <c r="D30" s="85">
        <v>711.93</v>
      </c>
      <c r="E30" s="69">
        <v>8.5817999999999997E-5</v>
      </c>
      <c r="F30" s="85">
        <f t="shared" si="0"/>
        <v>5753.3</v>
      </c>
      <c r="G30" s="85">
        <v>0.55249000000000004</v>
      </c>
      <c r="H30" s="69">
        <v>1.4046E-3</v>
      </c>
      <c r="I30" s="69">
        <f t="shared" si="1"/>
        <v>1333500</v>
      </c>
      <c r="J30" s="69">
        <f t="shared" si="2"/>
        <v>1345600</v>
      </c>
      <c r="K30" s="47">
        <f t="shared" si="3"/>
        <v>3256.1</v>
      </c>
      <c r="L30" s="47">
        <f t="shared" si="4"/>
        <v>3052.9</v>
      </c>
      <c r="M30" s="47">
        <v>908.86</v>
      </c>
      <c r="N30" s="69">
        <v>2.1468000000000001E-2</v>
      </c>
      <c r="O30" s="69">
        <v>1.4337000000000001E-2</v>
      </c>
      <c r="P30" s="49"/>
      <c r="Q30" s="49"/>
      <c r="R30" s="47">
        <v>86</v>
      </c>
      <c r="S30" s="47">
        <v>300.10000000000002</v>
      </c>
      <c r="T30" s="85">
        <v>46.244</v>
      </c>
      <c r="U30" s="69">
        <v>1.9585E-5</v>
      </c>
      <c r="V30" s="85">
        <f t="shared" si="5"/>
        <v>6226.9</v>
      </c>
      <c r="W30" s="69">
        <v>7.0959999999999995E-2</v>
      </c>
      <c r="X30" s="69">
        <v>2.1624000000000001E-2</v>
      </c>
      <c r="Y30" s="69">
        <f t="shared" si="6"/>
        <v>2563500</v>
      </c>
      <c r="Z30" s="69">
        <f t="shared" si="7"/>
        <v>2749400</v>
      </c>
      <c r="AA30" s="47">
        <f t="shared" si="8"/>
        <v>5705.0999999999995</v>
      </c>
      <c r="AB30" s="47">
        <f t="shared" si="9"/>
        <v>2971.9</v>
      </c>
      <c r="AC30" s="47">
        <v>480.66</v>
      </c>
      <c r="AD30" s="48">
        <v>1.0812999999999999</v>
      </c>
      <c r="AF30" s="22">
        <v>1333.5</v>
      </c>
      <c r="AG30" s="13">
        <v>1345.6</v>
      </c>
      <c r="AH30" s="13">
        <v>3.2561</v>
      </c>
      <c r="AI30" s="13">
        <v>3.0529000000000002</v>
      </c>
      <c r="AJ30" s="13">
        <v>5.7533000000000003</v>
      </c>
      <c r="AK30" s="5"/>
      <c r="AL30" s="22">
        <v>2563.5</v>
      </c>
      <c r="AM30" s="13">
        <v>2749.4</v>
      </c>
      <c r="AN30" s="13">
        <v>5.7050999999999998</v>
      </c>
      <c r="AO30" s="13">
        <v>2.9719000000000002</v>
      </c>
      <c r="AP30" s="13">
        <v>6.2268999999999997</v>
      </c>
      <c r="AS30" s="5"/>
      <c r="AW30" s="5"/>
    </row>
    <row r="31" spans="1:49">
      <c r="A31" s="117"/>
      <c r="B31" s="89">
        <v>87</v>
      </c>
      <c r="C31" s="85">
        <v>300.92</v>
      </c>
      <c r="D31" s="85">
        <v>710.23</v>
      </c>
      <c r="E31" s="69">
        <v>8.5507999999999995E-5</v>
      </c>
      <c r="F31" s="85">
        <f t="shared" si="0"/>
        <v>5777.5</v>
      </c>
      <c r="G31" s="85">
        <v>0.55123999999999995</v>
      </c>
      <c r="H31" s="69">
        <v>1.408E-3</v>
      </c>
      <c r="I31" s="69">
        <f t="shared" si="1"/>
        <v>1337900</v>
      </c>
      <c r="J31" s="69">
        <f t="shared" si="2"/>
        <v>1350200</v>
      </c>
      <c r="K31" s="47">
        <f t="shared" si="3"/>
        <v>3263.9</v>
      </c>
      <c r="L31" s="47">
        <f t="shared" si="4"/>
        <v>3052</v>
      </c>
      <c r="M31" s="47">
        <v>904.36</v>
      </c>
      <c r="N31" s="69">
        <v>2.2008E-2</v>
      </c>
      <c r="O31" s="69">
        <v>1.4149E-2</v>
      </c>
      <c r="P31" s="49"/>
      <c r="Q31" s="49"/>
      <c r="R31" s="47">
        <v>87</v>
      </c>
      <c r="S31" s="47">
        <v>300.92</v>
      </c>
      <c r="T31" s="85">
        <v>46.878999999999998</v>
      </c>
      <c r="U31" s="69">
        <v>1.9627999999999999E-5</v>
      </c>
      <c r="V31" s="85">
        <f t="shared" si="5"/>
        <v>6286.8</v>
      </c>
      <c r="W31" s="69">
        <v>7.1457000000000007E-2</v>
      </c>
      <c r="X31" s="69">
        <v>2.1332E-2</v>
      </c>
      <c r="Y31" s="69">
        <f t="shared" si="6"/>
        <v>2562300</v>
      </c>
      <c r="Z31" s="69">
        <f t="shared" si="7"/>
        <v>2747800</v>
      </c>
      <c r="AA31" s="47">
        <f t="shared" si="8"/>
        <v>5698.5999999999995</v>
      </c>
      <c r="AB31" s="47">
        <f t="shared" si="9"/>
        <v>2981.7</v>
      </c>
      <c r="AC31" s="47">
        <v>480.1</v>
      </c>
      <c r="AD31" s="48">
        <v>1.0743</v>
      </c>
      <c r="AF31" s="22">
        <v>1337.9</v>
      </c>
      <c r="AG31" s="13">
        <v>1350.2</v>
      </c>
      <c r="AH31" s="13">
        <v>3.2639</v>
      </c>
      <c r="AI31" s="13">
        <v>3.052</v>
      </c>
      <c r="AJ31" s="13">
        <v>5.7774999999999999</v>
      </c>
      <c r="AK31" s="5"/>
      <c r="AL31" s="22">
        <v>2562.3000000000002</v>
      </c>
      <c r="AM31" s="13">
        <v>2747.8</v>
      </c>
      <c r="AN31" s="13">
        <v>5.6985999999999999</v>
      </c>
      <c r="AO31" s="13">
        <v>2.9817</v>
      </c>
      <c r="AP31" s="13">
        <v>6.2868000000000004</v>
      </c>
      <c r="AS31" s="5"/>
      <c r="AW31" s="5"/>
    </row>
    <row r="32" spans="1:49">
      <c r="A32" s="117"/>
      <c r="B32" s="89">
        <v>88</v>
      </c>
      <c r="C32" s="85">
        <v>301.74</v>
      </c>
      <c r="D32" s="85">
        <v>708.54</v>
      </c>
      <c r="E32" s="69">
        <v>8.5201E-5</v>
      </c>
      <c r="F32" s="85">
        <f t="shared" si="0"/>
        <v>5802.1</v>
      </c>
      <c r="G32" s="85">
        <v>0.54998999999999998</v>
      </c>
      <c r="H32" s="69">
        <v>1.4113999999999999E-3</v>
      </c>
      <c r="I32" s="69">
        <f t="shared" si="1"/>
        <v>1342300</v>
      </c>
      <c r="J32" s="69">
        <f t="shared" si="2"/>
        <v>1354800</v>
      </c>
      <c r="K32" s="47">
        <f t="shared" si="3"/>
        <v>3271.7000000000003</v>
      </c>
      <c r="L32" s="47">
        <f t="shared" si="4"/>
        <v>3051.1</v>
      </c>
      <c r="M32" s="47">
        <v>899.87</v>
      </c>
      <c r="N32" s="69">
        <v>2.2553E-2</v>
      </c>
      <c r="O32" s="69">
        <v>1.3963E-2</v>
      </c>
      <c r="P32" s="49"/>
      <c r="Q32" s="49"/>
      <c r="R32" s="47">
        <v>88</v>
      </c>
      <c r="S32" s="47">
        <v>301.74</v>
      </c>
      <c r="T32" s="85">
        <v>47.517000000000003</v>
      </c>
      <c r="U32" s="69">
        <v>1.9670999999999999E-5</v>
      </c>
      <c r="V32" s="85">
        <f t="shared" si="5"/>
        <v>6347.4000000000005</v>
      </c>
      <c r="W32" s="69">
        <v>7.1957999999999994E-2</v>
      </c>
      <c r="X32" s="69">
        <v>2.1045000000000001E-2</v>
      </c>
      <c r="Y32" s="69">
        <f t="shared" si="6"/>
        <v>2561000</v>
      </c>
      <c r="Z32" s="69">
        <f t="shared" si="7"/>
        <v>2746200</v>
      </c>
      <c r="AA32" s="47">
        <f t="shared" si="8"/>
        <v>5692.1</v>
      </c>
      <c r="AB32" s="47">
        <f t="shared" si="9"/>
        <v>2991.4</v>
      </c>
      <c r="AC32" s="47">
        <v>479.54</v>
      </c>
      <c r="AD32" s="48">
        <v>1.0673999999999999</v>
      </c>
      <c r="AF32" s="22">
        <v>1342.3</v>
      </c>
      <c r="AG32" s="13">
        <v>1354.8</v>
      </c>
      <c r="AH32" s="13">
        <v>3.2717000000000001</v>
      </c>
      <c r="AI32" s="13">
        <v>3.0510999999999999</v>
      </c>
      <c r="AJ32" s="13">
        <v>5.8021000000000003</v>
      </c>
      <c r="AK32" s="5"/>
      <c r="AL32" s="22">
        <v>2561</v>
      </c>
      <c r="AM32" s="13">
        <v>2746.2</v>
      </c>
      <c r="AN32" s="13">
        <v>5.6920999999999999</v>
      </c>
      <c r="AO32" s="13">
        <v>2.9914000000000001</v>
      </c>
      <c r="AP32" s="13">
        <v>6.3474000000000004</v>
      </c>
      <c r="AS32" s="5"/>
      <c r="AW32" s="5"/>
    </row>
    <row r="33" spans="1:49">
      <c r="A33" s="117"/>
      <c r="B33" s="89">
        <v>89</v>
      </c>
      <c r="C33" s="85">
        <v>302.54000000000002</v>
      </c>
      <c r="D33" s="85">
        <v>706.85</v>
      </c>
      <c r="E33" s="69">
        <v>8.4896999999999997E-5</v>
      </c>
      <c r="F33" s="85">
        <f t="shared" si="0"/>
        <v>5826.9000000000005</v>
      </c>
      <c r="G33" s="85">
        <v>0.54874999999999996</v>
      </c>
      <c r="H33" s="69">
        <v>1.4147000000000001E-3</v>
      </c>
      <c r="I33" s="69">
        <f t="shared" si="1"/>
        <v>1346700</v>
      </c>
      <c r="J33" s="69">
        <f t="shared" si="2"/>
        <v>1359300</v>
      </c>
      <c r="K33" s="47">
        <f t="shared" si="3"/>
        <v>3279.3</v>
      </c>
      <c r="L33" s="47">
        <f t="shared" si="4"/>
        <v>3050.2</v>
      </c>
      <c r="M33" s="47">
        <v>895.41</v>
      </c>
      <c r="N33" s="69">
        <v>2.3104E-2</v>
      </c>
      <c r="O33" s="69">
        <v>1.3778E-2</v>
      </c>
      <c r="P33" s="49"/>
      <c r="Q33" s="49"/>
      <c r="R33" s="47">
        <v>89</v>
      </c>
      <c r="S33" s="47">
        <v>302.54000000000002</v>
      </c>
      <c r="T33" s="85">
        <v>48.158999999999999</v>
      </c>
      <c r="U33" s="69">
        <v>1.9715E-5</v>
      </c>
      <c r="V33" s="85">
        <f t="shared" si="5"/>
        <v>6408.8</v>
      </c>
      <c r="W33" s="69">
        <v>7.2464000000000001E-2</v>
      </c>
      <c r="X33" s="69">
        <v>2.0764999999999999E-2</v>
      </c>
      <c r="Y33" s="69">
        <f t="shared" si="6"/>
        <v>2559800</v>
      </c>
      <c r="Z33" s="69">
        <f t="shared" si="7"/>
        <v>2744600</v>
      </c>
      <c r="AA33" s="47">
        <f t="shared" si="8"/>
        <v>5685.6</v>
      </c>
      <c r="AB33" s="47">
        <f t="shared" si="9"/>
        <v>3001.1</v>
      </c>
      <c r="AC33" s="47">
        <v>478.97</v>
      </c>
      <c r="AD33" s="48">
        <v>1.0606</v>
      </c>
      <c r="AF33" s="22">
        <v>1346.7</v>
      </c>
      <c r="AG33" s="13">
        <v>1359.3</v>
      </c>
      <c r="AH33" s="13">
        <v>3.2793000000000001</v>
      </c>
      <c r="AI33" s="13">
        <v>3.0501999999999998</v>
      </c>
      <c r="AJ33" s="13">
        <v>5.8269000000000002</v>
      </c>
      <c r="AK33" s="5"/>
      <c r="AL33" s="22">
        <v>2559.8000000000002</v>
      </c>
      <c r="AM33" s="13">
        <v>2744.6</v>
      </c>
      <c r="AN33" s="13">
        <v>5.6856</v>
      </c>
      <c r="AO33" s="13">
        <v>3.0011000000000001</v>
      </c>
      <c r="AP33" s="13">
        <v>6.4088000000000003</v>
      </c>
      <c r="AS33" s="5"/>
      <c r="AW33" s="5"/>
    </row>
    <row r="34" spans="1:49">
      <c r="A34" s="117"/>
      <c r="B34" s="89">
        <v>90</v>
      </c>
      <c r="C34" s="85">
        <v>303.33999999999997</v>
      </c>
      <c r="D34" s="85">
        <v>705.16</v>
      </c>
      <c r="E34" s="69">
        <v>8.4594999999999999E-5</v>
      </c>
      <c r="F34" s="85">
        <f t="shared" si="0"/>
        <v>5852.1</v>
      </c>
      <c r="G34" s="85">
        <v>0.54751000000000005</v>
      </c>
      <c r="H34" s="69">
        <v>1.4181E-3</v>
      </c>
      <c r="I34" s="69">
        <f t="shared" si="1"/>
        <v>1351100</v>
      </c>
      <c r="J34" s="69">
        <f t="shared" si="2"/>
        <v>1363900</v>
      </c>
      <c r="K34" s="47">
        <f t="shared" si="3"/>
        <v>3287</v>
      </c>
      <c r="L34" s="47">
        <f t="shared" si="4"/>
        <v>3049.4</v>
      </c>
      <c r="M34" s="47">
        <v>890.96</v>
      </c>
      <c r="N34" s="69">
        <v>2.366E-2</v>
      </c>
      <c r="O34" s="69">
        <v>1.3596E-2</v>
      </c>
      <c r="P34" s="49"/>
      <c r="Q34" s="49"/>
      <c r="R34" s="47">
        <v>90</v>
      </c>
      <c r="S34" s="47">
        <v>303.33999999999997</v>
      </c>
      <c r="T34" s="85">
        <v>48.804000000000002</v>
      </c>
      <c r="U34" s="69">
        <v>1.9758E-5</v>
      </c>
      <c r="V34" s="85">
        <f t="shared" si="5"/>
        <v>6471</v>
      </c>
      <c r="W34" s="69">
        <v>7.2972999999999996E-2</v>
      </c>
      <c r="X34" s="69">
        <v>2.0490000000000001E-2</v>
      </c>
      <c r="Y34" s="69">
        <f t="shared" si="6"/>
        <v>2558500</v>
      </c>
      <c r="Z34" s="69">
        <f t="shared" si="7"/>
        <v>2742900</v>
      </c>
      <c r="AA34" s="47">
        <f t="shared" si="8"/>
        <v>5679.1</v>
      </c>
      <c r="AB34" s="47">
        <f t="shared" si="9"/>
        <v>3010.8</v>
      </c>
      <c r="AC34" s="47">
        <v>478.4</v>
      </c>
      <c r="AD34" s="48">
        <v>1.0538000000000001</v>
      </c>
      <c r="AF34" s="22">
        <v>1351.1</v>
      </c>
      <c r="AG34" s="13">
        <v>1363.9</v>
      </c>
      <c r="AH34" s="13">
        <v>3.2869999999999999</v>
      </c>
      <c r="AI34" s="13">
        <v>3.0493999999999999</v>
      </c>
      <c r="AJ34" s="13">
        <v>5.8521000000000001</v>
      </c>
      <c r="AK34" s="5"/>
      <c r="AL34" s="22">
        <v>2558.5</v>
      </c>
      <c r="AM34" s="13">
        <v>2742.9</v>
      </c>
      <c r="AN34" s="13">
        <v>5.6791</v>
      </c>
      <c r="AO34" s="13">
        <v>3.0108000000000001</v>
      </c>
      <c r="AP34" s="13">
        <v>6.4710000000000001</v>
      </c>
      <c r="AS34" s="5"/>
      <c r="AW34" s="5"/>
    </row>
    <row r="35" spans="1:49">
      <c r="A35" s="117"/>
      <c r="B35" s="89">
        <v>91</v>
      </c>
      <c r="C35" s="85">
        <v>304.14</v>
      </c>
      <c r="D35" s="85">
        <v>703.48</v>
      </c>
      <c r="E35" s="69">
        <v>8.4296999999999996E-5</v>
      </c>
      <c r="F35" s="85">
        <f t="shared" si="0"/>
        <v>5877.6</v>
      </c>
      <c r="G35" s="85">
        <v>0.54627000000000003</v>
      </c>
      <c r="H35" s="69">
        <v>1.4215E-3</v>
      </c>
      <c r="I35" s="69">
        <f t="shared" si="1"/>
        <v>1355500</v>
      </c>
      <c r="J35" s="69">
        <f t="shared" si="2"/>
        <v>1368400</v>
      </c>
      <c r="K35" s="47">
        <f t="shared" si="3"/>
        <v>3294.6</v>
      </c>
      <c r="L35" s="47">
        <f t="shared" si="4"/>
        <v>3048.7000000000003</v>
      </c>
      <c r="M35" s="47">
        <v>886.53</v>
      </c>
      <c r="N35" s="69">
        <v>2.4222E-2</v>
      </c>
      <c r="O35" s="69">
        <v>1.3415E-2</v>
      </c>
      <c r="P35" s="49"/>
      <c r="Q35" s="49"/>
      <c r="R35" s="47">
        <v>91</v>
      </c>
      <c r="S35" s="47">
        <v>304.14</v>
      </c>
      <c r="T35" s="85">
        <v>49.453000000000003</v>
      </c>
      <c r="U35" s="69">
        <v>1.9800999999999999E-5</v>
      </c>
      <c r="V35" s="85">
        <f t="shared" si="5"/>
        <v>6534</v>
      </c>
      <c r="W35" s="69">
        <v>7.3487999999999998E-2</v>
      </c>
      <c r="X35" s="69">
        <v>2.0220999999999999E-2</v>
      </c>
      <c r="Y35" s="69">
        <f t="shared" si="6"/>
        <v>2557300</v>
      </c>
      <c r="Z35" s="69">
        <f t="shared" si="7"/>
        <v>2741300</v>
      </c>
      <c r="AA35" s="47">
        <f t="shared" si="8"/>
        <v>5672.7</v>
      </c>
      <c r="AB35" s="47">
        <f t="shared" si="9"/>
        <v>3020.4</v>
      </c>
      <c r="AC35" s="47">
        <v>477.83</v>
      </c>
      <c r="AD35" s="48">
        <v>1.0471999999999999</v>
      </c>
      <c r="AF35" s="22">
        <v>1355.5</v>
      </c>
      <c r="AG35" s="13">
        <v>1368.4</v>
      </c>
      <c r="AH35" s="13">
        <v>3.2946</v>
      </c>
      <c r="AI35" s="13">
        <v>3.0487000000000002</v>
      </c>
      <c r="AJ35" s="13">
        <v>5.8776000000000002</v>
      </c>
      <c r="AK35" s="5"/>
      <c r="AL35" s="22">
        <v>2557.3000000000002</v>
      </c>
      <c r="AM35" s="13">
        <v>2741.3</v>
      </c>
      <c r="AN35" s="13">
        <v>5.6726999999999999</v>
      </c>
      <c r="AO35" s="13">
        <v>3.0204</v>
      </c>
      <c r="AP35" s="13">
        <v>6.5339999999999998</v>
      </c>
      <c r="AS35" s="5"/>
      <c r="AW35" s="5"/>
    </row>
    <row r="36" spans="1:49">
      <c r="A36" s="117"/>
      <c r="B36" s="89">
        <v>92</v>
      </c>
      <c r="C36" s="85">
        <v>304.93</v>
      </c>
      <c r="D36" s="85">
        <v>701.8</v>
      </c>
      <c r="E36" s="69">
        <v>8.4000999999999998E-5</v>
      </c>
      <c r="F36" s="85">
        <f t="shared" ref="F36:F67" si="10">AJ36*1000</f>
        <v>5903.5</v>
      </c>
      <c r="G36" s="85">
        <v>0.54503999999999997</v>
      </c>
      <c r="H36" s="69">
        <v>1.4249E-3</v>
      </c>
      <c r="I36" s="69">
        <f t="shared" ref="I36:I67" si="11">AF36*1000</f>
        <v>1359800</v>
      </c>
      <c r="J36" s="69">
        <f t="shared" ref="J36:J67" si="12">AG36*1000</f>
        <v>1372900</v>
      </c>
      <c r="K36" s="47">
        <f t="shared" ref="K36:K67" si="13">AH36*1000</f>
        <v>3302.1</v>
      </c>
      <c r="L36" s="47">
        <f t="shared" ref="L36:L67" si="14">AI36*1000</f>
        <v>3048</v>
      </c>
      <c r="M36" s="47">
        <v>882.11</v>
      </c>
      <c r="N36" s="69">
        <v>2.4788999999999999E-2</v>
      </c>
      <c r="O36" s="69">
        <v>1.3236E-2</v>
      </c>
      <c r="P36" s="49"/>
      <c r="Q36" s="49"/>
      <c r="R36" s="47">
        <v>92</v>
      </c>
      <c r="S36" s="47">
        <v>304.93</v>
      </c>
      <c r="T36" s="85">
        <v>50.104999999999997</v>
      </c>
      <c r="U36" s="69">
        <v>1.9845000000000001E-5</v>
      </c>
      <c r="V36" s="85">
        <f t="shared" ref="V36:V67" si="15">AP36*1000</f>
        <v>6597.8</v>
      </c>
      <c r="W36" s="69">
        <v>7.4007000000000003E-2</v>
      </c>
      <c r="X36" s="69">
        <v>1.9958E-2</v>
      </c>
      <c r="Y36" s="69">
        <f t="shared" ref="Y36:Y67" si="16">AL36*1000</f>
        <v>2556000</v>
      </c>
      <c r="Z36" s="69">
        <f t="shared" ref="Z36:Z67" si="17">AM36*1000</f>
        <v>2739600</v>
      </c>
      <c r="AA36" s="47">
        <f t="shared" ref="AA36:AA67" si="18">AN36*1000</f>
        <v>5666.2999999999993</v>
      </c>
      <c r="AB36" s="47">
        <f t="shared" ref="AB36:AB67" si="19">AO36*1000</f>
        <v>3030.1</v>
      </c>
      <c r="AC36" s="47">
        <v>477.25</v>
      </c>
      <c r="AD36" s="48">
        <v>1.0407</v>
      </c>
      <c r="AF36" s="22">
        <v>1359.8</v>
      </c>
      <c r="AG36" s="13">
        <v>1372.9</v>
      </c>
      <c r="AH36" s="13">
        <v>3.3020999999999998</v>
      </c>
      <c r="AI36" s="13">
        <v>3.048</v>
      </c>
      <c r="AJ36" s="13">
        <v>5.9035000000000002</v>
      </c>
      <c r="AK36" s="5"/>
      <c r="AL36" s="22">
        <v>2556</v>
      </c>
      <c r="AM36" s="13">
        <v>2739.6</v>
      </c>
      <c r="AN36" s="13">
        <v>5.6662999999999997</v>
      </c>
      <c r="AO36" s="13">
        <v>3.0301</v>
      </c>
      <c r="AP36" s="13">
        <v>6.5978000000000003</v>
      </c>
      <c r="AS36" s="5"/>
      <c r="AW36" s="5"/>
    </row>
    <row r="37" spans="1:49">
      <c r="A37" s="117"/>
      <c r="B37" s="89">
        <v>93</v>
      </c>
      <c r="C37" s="85">
        <v>305.70999999999998</v>
      </c>
      <c r="D37" s="85">
        <v>700.12</v>
      </c>
      <c r="E37" s="69">
        <v>8.3707000000000003E-5</v>
      </c>
      <c r="F37" s="85">
        <f t="shared" si="10"/>
        <v>5929.7000000000007</v>
      </c>
      <c r="G37" s="85">
        <v>0.54381000000000002</v>
      </c>
      <c r="H37" s="69">
        <v>1.4283E-3</v>
      </c>
      <c r="I37" s="69">
        <f t="shared" si="11"/>
        <v>1364100</v>
      </c>
      <c r="J37" s="69">
        <f t="shared" si="12"/>
        <v>1377400</v>
      </c>
      <c r="K37" s="47">
        <f t="shared" si="13"/>
        <v>3309.6</v>
      </c>
      <c r="L37" s="47">
        <f t="shared" si="14"/>
        <v>3047.2999999999997</v>
      </c>
      <c r="M37" s="47">
        <v>877.71</v>
      </c>
      <c r="N37" s="69">
        <v>2.5361999999999999E-2</v>
      </c>
      <c r="O37" s="69">
        <v>1.3058999999999999E-2</v>
      </c>
      <c r="P37" s="49"/>
      <c r="Q37" s="49"/>
      <c r="R37" s="47">
        <v>93</v>
      </c>
      <c r="S37" s="47">
        <v>305.70999999999998</v>
      </c>
      <c r="T37" s="85">
        <v>50.761000000000003</v>
      </c>
      <c r="U37" s="69">
        <v>1.9888E-5</v>
      </c>
      <c r="V37" s="85">
        <f t="shared" si="15"/>
        <v>6662.5</v>
      </c>
      <c r="W37" s="69">
        <v>7.4531E-2</v>
      </c>
      <c r="X37" s="69">
        <v>1.9699999999999999E-2</v>
      </c>
      <c r="Y37" s="69">
        <f t="shared" si="16"/>
        <v>2554700</v>
      </c>
      <c r="Z37" s="69">
        <f t="shared" si="17"/>
        <v>2737900</v>
      </c>
      <c r="AA37" s="47">
        <f t="shared" si="18"/>
        <v>5659.9000000000005</v>
      </c>
      <c r="AB37" s="47">
        <f t="shared" si="19"/>
        <v>3039.7</v>
      </c>
      <c r="AC37" s="47">
        <v>476.67</v>
      </c>
      <c r="AD37" s="48">
        <v>1.0342</v>
      </c>
      <c r="AF37" s="22">
        <v>1364.1</v>
      </c>
      <c r="AG37" s="13">
        <v>1377.4</v>
      </c>
      <c r="AH37" s="13">
        <v>3.3096000000000001</v>
      </c>
      <c r="AI37" s="13">
        <v>3.0472999999999999</v>
      </c>
      <c r="AJ37" s="13">
        <v>5.9297000000000004</v>
      </c>
      <c r="AK37" s="5"/>
      <c r="AL37" s="22">
        <v>2554.6999999999998</v>
      </c>
      <c r="AM37" s="13">
        <v>2737.9</v>
      </c>
      <c r="AN37" s="13">
        <v>5.6599000000000004</v>
      </c>
      <c r="AO37" s="13">
        <v>3.0396999999999998</v>
      </c>
      <c r="AP37" s="13">
        <v>6.6624999999999996</v>
      </c>
      <c r="AS37" s="5"/>
      <c r="AW37" s="5"/>
    </row>
    <row r="38" spans="1:49">
      <c r="A38" s="117"/>
      <c r="B38" s="89">
        <v>94</v>
      </c>
      <c r="C38" s="85">
        <v>306.48</v>
      </c>
      <c r="D38" s="85">
        <v>698.44</v>
      </c>
      <c r="E38" s="69">
        <v>8.3416000000000002E-5</v>
      </c>
      <c r="F38" s="85">
        <f t="shared" si="10"/>
        <v>5956.2</v>
      </c>
      <c r="G38" s="85">
        <v>0.54257999999999995</v>
      </c>
      <c r="H38" s="69">
        <v>1.4318E-3</v>
      </c>
      <c r="I38" s="69">
        <f t="shared" si="11"/>
        <v>1368300</v>
      </c>
      <c r="J38" s="69">
        <f t="shared" si="12"/>
        <v>1381800</v>
      </c>
      <c r="K38" s="47">
        <f t="shared" si="13"/>
        <v>3317</v>
      </c>
      <c r="L38" s="47">
        <f t="shared" si="14"/>
        <v>3046.7</v>
      </c>
      <c r="M38" s="47">
        <v>873.33</v>
      </c>
      <c r="N38" s="69">
        <v>2.5940999999999999E-2</v>
      </c>
      <c r="O38" s="69">
        <v>1.2883E-2</v>
      </c>
      <c r="P38" s="49"/>
      <c r="Q38" s="49"/>
      <c r="R38" s="47">
        <v>94</v>
      </c>
      <c r="S38" s="47">
        <v>306.48</v>
      </c>
      <c r="T38" s="85">
        <v>51.420999999999999</v>
      </c>
      <c r="U38" s="69">
        <v>1.9932000000000002E-5</v>
      </c>
      <c r="V38" s="85">
        <f t="shared" si="15"/>
        <v>6728</v>
      </c>
      <c r="W38" s="69">
        <v>7.5059000000000001E-2</v>
      </c>
      <c r="X38" s="69">
        <v>1.9446999999999999E-2</v>
      </c>
      <c r="Y38" s="69">
        <f t="shared" si="16"/>
        <v>2553400</v>
      </c>
      <c r="Z38" s="69">
        <f t="shared" si="17"/>
        <v>2736200</v>
      </c>
      <c r="AA38" s="47">
        <f t="shared" si="18"/>
        <v>5653.6</v>
      </c>
      <c r="AB38" s="47">
        <f t="shared" si="19"/>
        <v>3049.3</v>
      </c>
      <c r="AC38" s="47">
        <v>476.08</v>
      </c>
      <c r="AD38" s="48">
        <v>1.0279</v>
      </c>
      <c r="AF38" s="22">
        <v>1368.3</v>
      </c>
      <c r="AG38" s="13">
        <v>1381.8</v>
      </c>
      <c r="AH38" s="13">
        <v>3.3170000000000002</v>
      </c>
      <c r="AI38" s="13">
        <v>3.0467</v>
      </c>
      <c r="AJ38" s="13">
        <v>5.9561999999999999</v>
      </c>
      <c r="AK38" s="5"/>
      <c r="AL38" s="22">
        <v>2553.4</v>
      </c>
      <c r="AM38" s="13">
        <v>2736.2</v>
      </c>
      <c r="AN38" s="13">
        <v>5.6536</v>
      </c>
      <c r="AO38" s="13">
        <v>3.0493000000000001</v>
      </c>
      <c r="AP38" s="13">
        <v>6.7279999999999998</v>
      </c>
      <c r="AS38" s="5"/>
      <c r="AW38" s="5"/>
    </row>
    <row r="39" spans="1:49">
      <c r="A39" s="117"/>
      <c r="B39" s="89">
        <v>95</v>
      </c>
      <c r="C39" s="85">
        <v>307.25</v>
      </c>
      <c r="D39" s="85">
        <v>696.77</v>
      </c>
      <c r="E39" s="69">
        <v>8.3127999999999994E-5</v>
      </c>
      <c r="F39" s="85">
        <f t="shared" si="10"/>
        <v>5983.2</v>
      </c>
      <c r="G39" s="85">
        <v>0.54135999999999995</v>
      </c>
      <c r="H39" s="69">
        <v>1.4352E-3</v>
      </c>
      <c r="I39" s="69">
        <f t="shared" si="11"/>
        <v>1372600</v>
      </c>
      <c r="J39" s="69">
        <f t="shared" si="12"/>
        <v>1386200</v>
      </c>
      <c r="K39" s="47">
        <f t="shared" si="13"/>
        <v>3324.3999999999996</v>
      </c>
      <c r="L39" s="47">
        <f t="shared" si="14"/>
        <v>3046.1</v>
      </c>
      <c r="M39" s="47">
        <v>868.96</v>
      </c>
      <c r="N39" s="69">
        <v>2.6525E-2</v>
      </c>
      <c r="O39" s="69">
        <v>1.2709E-2</v>
      </c>
      <c r="P39" s="49"/>
      <c r="Q39" s="49"/>
      <c r="R39" s="47">
        <v>95</v>
      </c>
      <c r="S39" s="47">
        <v>307.25</v>
      </c>
      <c r="T39" s="85">
        <v>52.085000000000001</v>
      </c>
      <c r="U39" s="69">
        <v>1.9975000000000001E-5</v>
      </c>
      <c r="V39" s="85">
        <f t="shared" si="15"/>
        <v>6794.5</v>
      </c>
      <c r="W39" s="69">
        <v>7.5592999999999994E-2</v>
      </c>
      <c r="X39" s="69">
        <v>1.9199000000000001E-2</v>
      </c>
      <c r="Y39" s="69">
        <f t="shared" si="16"/>
        <v>2552000</v>
      </c>
      <c r="Z39" s="69">
        <f t="shared" si="17"/>
        <v>2734400</v>
      </c>
      <c r="AA39" s="47">
        <f t="shared" si="18"/>
        <v>5647.3</v>
      </c>
      <c r="AB39" s="47">
        <f t="shared" si="19"/>
        <v>3058.9</v>
      </c>
      <c r="AC39" s="47">
        <v>475.5</v>
      </c>
      <c r="AD39" s="48">
        <v>1.0216000000000001</v>
      </c>
      <c r="AF39" s="22">
        <v>1372.6</v>
      </c>
      <c r="AG39" s="13">
        <v>1386.2</v>
      </c>
      <c r="AH39" s="13">
        <v>3.3243999999999998</v>
      </c>
      <c r="AI39" s="13">
        <v>3.0461</v>
      </c>
      <c r="AJ39" s="13">
        <v>5.9832000000000001</v>
      </c>
      <c r="AK39" s="5"/>
      <c r="AL39" s="22">
        <v>2552</v>
      </c>
      <c r="AM39" s="13">
        <v>2734.4</v>
      </c>
      <c r="AN39" s="13">
        <v>5.6473000000000004</v>
      </c>
      <c r="AO39" s="13">
        <v>3.0589</v>
      </c>
      <c r="AP39" s="13">
        <v>6.7945000000000002</v>
      </c>
      <c r="AS39" s="5"/>
      <c r="AW39" s="5"/>
    </row>
    <row r="40" spans="1:49">
      <c r="A40" s="117"/>
      <c r="B40" s="89">
        <v>96</v>
      </c>
      <c r="C40" s="85">
        <v>308.01</v>
      </c>
      <c r="D40" s="85">
        <v>695.09</v>
      </c>
      <c r="E40" s="69">
        <v>8.2842000000000004E-5</v>
      </c>
      <c r="F40" s="85">
        <f t="shared" si="10"/>
        <v>6010.5</v>
      </c>
      <c r="G40" s="85">
        <v>0.54013999999999995</v>
      </c>
      <c r="H40" s="69">
        <v>1.4387E-3</v>
      </c>
      <c r="I40" s="69">
        <f t="shared" si="11"/>
        <v>1376800</v>
      </c>
      <c r="J40" s="69">
        <f t="shared" si="12"/>
        <v>1390600</v>
      </c>
      <c r="K40" s="47">
        <f t="shared" si="13"/>
        <v>3331.7000000000003</v>
      </c>
      <c r="L40" s="47">
        <f t="shared" si="14"/>
        <v>3045.5</v>
      </c>
      <c r="M40" s="47">
        <v>864.61</v>
      </c>
      <c r="N40" s="69">
        <v>2.7116000000000001E-2</v>
      </c>
      <c r="O40" s="69">
        <v>1.2537E-2</v>
      </c>
      <c r="P40" s="49"/>
      <c r="Q40" s="49"/>
      <c r="R40" s="47">
        <v>96</v>
      </c>
      <c r="S40" s="47">
        <v>308.01</v>
      </c>
      <c r="T40" s="85">
        <v>52.753</v>
      </c>
      <c r="U40" s="69">
        <v>2.0018999999999999E-5</v>
      </c>
      <c r="V40" s="85">
        <f t="shared" si="15"/>
        <v>6861.7999999999993</v>
      </c>
      <c r="W40" s="69">
        <v>7.6132000000000005E-2</v>
      </c>
      <c r="X40" s="69">
        <v>1.8956000000000001E-2</v>
      </c>
      <c r="Y40" s="69">
        <f t="shared" si="16"/>
        <v>2550700</v>
      </c>
      <c r="Z40" s="69">
        <f t="shared" si="17"/>
        <v>2732700</v>
      </c>
      <c r="AA40" s="47">
        <f t="shared" si="18"/>
        <v>5641</v>
      </c>
      <c r="AB40" s="47">
        <f t="shared" si="19"/>
        <v>3068.4</v>
      </c>
      <c r="AC40" s="47">
        <v>474.91</v>
      </c>
      <c r="AD40" s="48">
        <v>1.0154000000000001</v>
      </c>
      <c r="AF40" s="22">
        <v>1376.8</v>
      </c>
      <c r="AG40" s="13">
        <v>1390.6</v>
      </c>
      <c r="AH40" s="13">
        <v>3.3317000000000001</v>
      </c>
      <c r="AI40" s="13">
        <v>3.0455000000000001</v>
      </c>
      <c r="AJ40" s="13">
        <v>6.0105000000000004</v>
      </c>
      <c r="AK40" s="5"/>
      <c r="AL40" s="22">
        <v>2550.6999999999998</v>
      </c>
      <c r="AM40" s="13">
        <v>2732.7</v>
      </c>
      <c r="AN40" s="13">
        <v>5.641</v>
      </c>
      <c r="AO40" s="13">
        <v>3.0684</v>
      </c>
      <c r="AP40" s="13">
        <v>6.8617999999999997</v>
      </c>
      <c r="AS40" s="5"/>
      <c r="AW40" s="5"/>
    </row>
    <row r="41" spans="1:49">
      <c r="A41" s="117"/>
      <c r="B41" s="89">
        <v>97</v>
      </c>
      <c r="C41" s="85">
        <v>308.77</v>
      </c>
      <c r="D41" s="85">
        <v>693.42</v>
      </c>
      <c r="E41" s="69">
        <v>8.2558000000000005E-5</v>
      </c>
      <c r="F41" s="85">
        <f t="shared" si="10"/>
        <v>6038.2</v>
      </c>
      <c r="G41" s="85">
        <v>0.53891999999999995</v>
      </c>
      <c r="H41" s="69">
        <v>1.4421E-3</v>
      </c>
      <c r="I41" s="69">
        <f t="shared" si="11"/>
        <v>1381000</v>
      </c>
      <c r="J41" s="69">
        <f t="shared" si="12"/>
        <v>1395000</v>
      </c>
      <c r="K41" s="47">
        <f t="shared" si="13"/>
        <v>3339</v>
      </c>
      <c r="L41" s="47">
        <f t="shared" si="14"/>
        <v>3045</v>
      </c>
      <c r="M41" s="47">
        <v>860.27</v>
      </c>
      <c r="N41" s="69">
        <v>2.7712000000000001E-2</v>
      </c>
      <c r="O41" s="69">
        <v>1.2367E-2</v>
      </c>
      <c r="P41" s="49"/>
      <c r="Q41" s="49"/>
      <c r="R41" s="47">
        <v>97</v>
      </c>
      <c r="S41" s="47">
        <v>308.77</v>
      </c>
      <c r="T41" s="85">
        <v>53.423999999999999</v>
      </c>
      <c r="U41" s="69">
        <v>2.0063000000000001E-5</v>
      </c>
      <c r="V41" s="85">
        <f t="shared" si="15"/>
        <v>6930.1</v>
      </c>
      <c r="W41" s="69">
        <v>7.6676999999999995E-2</v>
      </c>
      <c r="X41" s="69">
        <v>1.8717999999999999E-2</v>
      </c>
      <c r="Y41" s="69">
        <f t="shared" si="16"/>
        <v>2549300</v>
      </c>
      <c r="Z41" s="69">
        <f t="shared" si="17"/>
        <v>2730900</v>
      </c>
      <c r="AA41" s="47">
        <f t="shared" si="18"/>
        <v>5634.7</v>
      </c>
      <c r="AB41" s="47">
        <f t="shared" si="19"/>
        <v>3078</v>
      </c>
      <c r="AC41" s="47">
        <v>474.31</v>
      </c>
      <c r="AD41" s="48">
        <v>1.0092000000000001</v>
      </c>
      <c r="AF41" s="22">
        <v>1381</v>
      </c>
      <c r="AG41" s="13">
        <v>1395</v>
      </c>
      <c r="AH41" s="13">
        <v>3.339</v>
      </c>
      <c r="AI41" s="13">
        <v>3.0449999999999999</v>
      </c>
      <c r="AJ41" s="13">
        <v>6.0381999999999998</v>
      </c>
      <c r="AK41" s="5"/>
      <c r="AL41" s="22">
        <v>2549.3000000000002</v>
      </c>
      <c r="AM41" s="13">
        <v>2730.9</v>
      </c>
      <c r="AN41" s="13">
        <v>5.6346999999999996</v>
      </c>
      <c r="AO41" s="13">
        <v>3.0779999999999998</v>
      </c>
      <c r="AP41" s="13">
        <v>6.9301000000000004</v>
      </c>
      <c r="AS41" s="5"/>
      <c r="AW41" s="5"/>
    </row>
    <row r="42" spans="1:49">
      <c r="A42" s="117"/>
      <c r="B42" s="89">
        <v>98</v>
      </c>
      <c r="C42" s="85">
        <v>309.52</v>
      </c>
      <c r="D42" s="85">
        <v>691.76</v>
      </c>
      <c r="E42" s="69">
        <v>8.2275999999999996E-5</v>
      </c>
      <c r="F42" s="85">
        <f t="shared" si="10"/>
        <v>6066.3</v>
      </c>
      <c r="G42" s="85">
        <v>0.53771000000000002</v>
      </c>
      <c r="H42" s="69">
        <v>1.4456E-3</v>
      </c>
      <c r="I42" s="69">
        <f t="shared" si="11"/>
        <v>1385200</v>
      </c>
      <c r="J42" s="69">
        <f t="shared" si="12"/>
        <v>1399400</v>
      </c>
      <c r="K42" s="47">
        <f t="shared" si="13"/>
        <v>3346.2999999999997</v>
      </c>
      <c r="L42" s="47">
        <f t="shared" si="14"/>
        <v>3044.6</v>
      </c>
      <c r="M42" s="47">
        <v>855.94</v>
      </c>
      <c r="N42" s="69">
        <v>2.8315E-2</v>
      </c>
      <c r="O42" s="69">
        <v>1.2198000000000001E-2</v>
      </c>
      <c r="P42" s="49"/>
      <c r="Q42" s="49"/>
      <c r="R42" s="47">
        <v>98</v>
      </c>
      <c r="S42" s="47">
        <v>309.52</v>
      </c>
      <c r="T42" s="85">
        <v>54.1</v>
      </c>
      <c r="U42" s="69">
        <v>2.0106E-5</v>
      </c>
      <c r="V42" s="85">
        <f t="shared" si="15"/>
        <v>6999.3</v>
      </c>
      <c r="W42" s="69">
        <v>7.7226000000000003E-2</v>
      </c>
      <c r="X42" s="69">
        <v>1.8484E-2</v>
      </c>
      <c r="Y42" s="69">
        <f t="shared" si="16"/>
        <v>2548000</v>
      </c>
      <c r="Z42" s="69">
        <f t="shared" si="17"/>
        <v>2729100</v>
      </c>
      <c r="AA42" s="47">
        <f t="shared" si="18"/>
        <v>5628.4</v>
      </c>
      <c r="AB42" s="47">
        <f t="shared" si="19"/>
        <v>3087.5</v>
      </c>
      <c r="AC42" s="47">
        <v>473.71</v>
      </c>
      <c r="AD42" s="48">
        <v>1.0032000000000001</v>
      </c>
      <c r="AF42" s="22">
        <v>1385.2</v>
      </c>
      <c r="AG42" s="13">
        <v>1399.4</v>
      </c>
      <c r="AH42" s="13">
        <v>3.3462999999999998</v>
      </c>
      <c r="AI42" s="13">
        <v>3.0446</v>
      </c>
      <c r="AJ42" s="13">
        <v>6.0663</v>
      </c>
      <c r="AK42" s="5"/>
      <c r="AL42" s="22">
        <v>2548</v>
      </c>
      <c r="AM42" s="13">
        <v>2729.1</v>
      </c>
      <c r="AN42" s="13">
        <v>5.6284000000000001</v>
      </c>
      <c r="AO42" s="13">
        <v>3.0874999999999999</v>
      </c>
      <c r="AP42" s="13">
        <v>6.9992999999999999</v>
      </c>
      <c r="AS42" s="5"/>
      <c r="AW42" s="5"/>
    </row>
    <row r="43" spans="1:49">
      <c r="A43" s="117"/>
      <c r="B43" s="89">
        <v>99</v>
      </c>
      <c r="C43" s="85">
        <v>310.26</v>
      </c>
      <c r="D43" s="85">
        <v>690.09</v>
      </c>
      <c r="E43" s="69">
        <v>8.1996000000000006E-5</v>
      </c>
      <c r="F43" s="85">
        <f t="shared" si="10"/>
        <v>6094.8</v>
      </c>
      <c r="G43" s="85">
        <v>0.53649999999999998</v>
      </c>
      <c r="H43" s="69">
        <v>1.4491E-3</v>
      </c>
      <c r="I43" s="69">
        <f t="shared" si="11"/>
        <v>1389400</v>
      </c>
      <c r="J43" s="69">
        <f t="shared" si="12"/>
        <v>1403700</v>
      </c>
      <c r="K43" s="47">
        <f t="shared" si="13"/>
        <v>3353.5</v>
      </c>
      <c r="L43" s="47">
        <f t="shared" si="14"/>
        <v>3044.2</v>
      </c>
      <c r="M43" s="47">
        <v>851.63</v>
      </c>
      <c r="N43" s="69">
        <v>2.8923999999999998E-2</v>
      </c>
      <c r="O43" s="69">
        <v>1.2030000000000001E-2</v>
      </c>
      <c r="P43" s="49"/>
      <c r="Q43" s="49"/>
      <c r="R43" s="47">
        <v>99</v>
      </c>
      <c r="S43" s="47">
        <v>310.26</v>
      </c>
      <c r="T43" s="85">
        <v>54.779000000000003</v>
      </c>
      <c r="U43" s="69">
        <v>2.0149999999999999E-5</v>
      </c>
      <c r="V43" s="85">
        <f t="shared" si="15"/>
        <v>7069.6</v>
      </c>
      <c r="W43" s="69">
        <v>7.7782000000000004E-2</v>
      </c>
      <c r="X43" s="69">
        <v>1.8255E-2</v>
      </c>
      <c r="Y43" s="69">
        <f t="shared" si="16"/>
        <v>2546600</v>
      </c>
      <c r="Z43" s="69">
        <f t="shared" si="17"/>
        <v>2727300</v>
      </c>
      <c r="AA43" s="47">
        <f t="shared" si="18"/>
        <v>5622.2000000000007</v>
      </c>
      <c r="AB43" s="47">
        <f t="shared" si="19"/>
        <v>3097</v>
      </c>
      <c r="AC43" s="47">
        <v>473.11</v>
      </c>
      <c r="AD43" s="48">
        <v>0.99716000000000005</v>
      </c>
      <c r="AF43" s="22">
        <v>1389.4</v>
      </c>
      <c r="AG43" s="13">
        <v>1403.7</v>
      </c>
      <c r="AH43" s="13">
        <v>3.3534999999999999</v>
      </c>
      <c r="AI43" s="13">
        <v>3.0442</v>
      </c>
      <c r="AJ43" s="13">
        <v>6.0948000000000002</v>
      </c>
      <c r="AK43" s="5"/>
      <c r="AL43" s="22">
        <v>2546.6</v>
      </c>
      <c r="AM43" s="13">
        <v>2727.3</v>
      </c>
      <c r="AN43" s="13">
        <v>5.6222000000000003</v>
      </c>
      <c r="AO43" s="13">
        <v>3.097</v>
      </c>
      <c r="AP43" s="13">
        <v>7.0696000000000003</v>
      </c>
      <c r="AS43" s="5"/>
      <c r="AW43" s="5"/>
    </row>
    <row r="44" spans="1:49">
      <c r="A44" s="117"/>
      <c r="B44" s="89">
        <v>100</v>
      </c>
      <c r="C44" s="85">
        <v>311</v>
      </c>
      <c r="D44" s="85">
        <v>688.42</v>
      </c>
      <c r="E44" s="69">
        <v>8.1718000000000006E-5</v>
      </c>
      <c r="F44" s="85">
        <f t="shared" si="10"/>
        <v>6123.7000000000007</v>
      </c>
      <c r="G44" s="85">
        <v>0.53529000000000004</v>
      </c>
      <c r="H44" s="69">
        <v>1.4526000000000001E-3</v>
      </c>
      <c r="I44" s="69">
        <f t="shared" si="11"/>
        <v>1393500</v>
      </c>
      <c r="J44" s="69">
        <f t="shared" si="12"/>
        <v>1408100</v>
      </c>
      <c r="K44" s="47">
        <f t="shared" si="13"/>
        <v>3360.6</v>
      </c>
      <c r="L44" s="47">
        <f t="shared" si="14"/>
        <v>3043.8</v>
      </c>
      <c r="M44" s="47">
        <v>847.33</v>
      </c>
      <c r="N44" s="69">
        <v>2.954E-2</v>
      </c>
      <c r="O44" s="69">
        <v>1.1865000000000001E-2</v>
      </c>
      <c r="P44" s="49"/>
      <c r="Q44" s="49"/>
      <c r="R44" s="47">
        <v>100</v>
      </c>
      <c r="S44" s="47">
        <v>311</v>
      </c>
      <c r="T44" s="85">
        <v>55.463000000000001</v>
      </c>
      <c r="U44" s="69">
        <v>2.0194E-5</v>
      </c>
      <c r="V44" s="85">
        <f t="shared" si="15"/>
        <v>7140.7999999999993</v>
      </c>
      <c r="W44" s="69">
        <v>7.8343999999999997E-2</v>
      </c>
      <c r="X44" s="69">
        <v>1.8030000000000001E-2</v>
      </c>
      <c r="Y44" s="69">
        <f t="shared" si="16"/>
        <v>2545200</v>
      </c>
      <c r="Z44" s="69">
        <f t="shared" si="17"/>
        <v>2725500</v>
      </c>
      <c r="AA44" s="47">
        <f t="shared" si="18"/>
        <v>5616</v>
      </c>
      <c r="AB44" s="47">
        <f t="shared" si="19"/>
        <v>3106.5</v>
      </c>
      <c r="AC44" s="47">
        <v>472.51</v>
      </c>
      <c r="AD44" s="48">
        <v>0.99124000000000001</v>
      </c>
      <c r="AF44" s="22">
        <v>1393.5</v>
      </c>
      <c r="AG44" s="13">
        <v>1408.1</v>
      </c>
      <c r="AH44" s="13">
        <v>3.3605999999999998</v>
      </c>
      <c r="AI44" s="13">
        <v>3.0438000000000001</v>
      </c>
      <c r="AJ44" s="13">
        <v>6.1237000000000004</v>
      </c>
      <c r="AK44" s="5"/>
      <c r="AL44" s="22">
        <v>2545.1999999999998</v>
      </c>
      <c r="AM44" s="13">
        <v>2725.5</v>
      </c>
      <c r="AN44" s="13">
        <v>5.6159999999999997</v>
      </c>
      <c r="AO44" s="13">
        <v>3.1065</v>
      </c>
      <c r="AP44" s="13">
        <v>7.1407999999999996</v>
      </c>
      <c r="AS44" s="5"/>
      <c r="AW44" s="5"/>
    </row>
    <row r="45" spans="1:49">
      <c r="A45" s="117"/>
      <c r="B45" s="89">
        <v>101</v>
      </c>
      <c r="C45" s="85">
        <v>311.73</v>
      </c>
      <c r="D45" s="85">
        <v>686.76</v>
      </c>
      <c r="E45" s="69">
        <v>8.1442999999999999E-5</v>
      </c>
      <c r="F45" s="85">
        <f t="shared" si="10"/>
        <v>6153</v>
      </c>
      <c r="G45" s="85">
        <v>0.53408999999999995</v>
      </c>
      <c r="H45" s="69">
        <v>1.4561000000000001E-3</v>
      </c>
      <c r="I45" s="69">
        <f t="shared" si="11"/>
        <v>1397700</v>
      </c>
      <c r="J45" s="69">
        <f t="shared" si="12"/>
        <v>1412400</v>
      </c>
      <c r="K45" s="47">
        <f t="shared" si="13"/>
        <v>3367.7999999999997</v>
      </c>
      <c r="L45" s="47">
        <f t="shared" si="14"/>
        <v>3043.5</v>
      </c>
      <c r="M45" s="47">
        <v>843.04</v>
      </c>
      <c r="N45" s="69">
        <v>3.0162000000000001E-2</v>
      </c>
      <c r="O45" s="69">
        <v>1.17E-2</v>
      </c>
      <c r="P45" s="49"/>
      <c r="Q45" s="49"/>
      <c r="R45" s="47">
        <v>101</v>
      </c>
      <c r="S45" s="47">
        <v>311.73</v>
      </c>
      <c r="T45" s="85">
        <v>56.151000000000003</v>
      </c>
      <c r="U45" s="69">
        <v>2.0239000000000001E-5</v>
      </c>
      <c r="V45" s="85">
        <f t="shared" si="15"/>
        <v>7213.0999999999995</v>
      </c>
      <c r="W45" s="69">
        <v>7.8910999999999995E-2</v>
      </c>
      <c r="X45" s="69">
        <v>1.7808999999999998E-2</v>
      </c>
      <c r="Y45" s="69">
        <f t="shared" si="16"/>
        <v>2543800</v>
      </c>
      <c r="Z45" s="69">
        <f t="shared" si="17"/>
        <v>2723700</v>
      </c>
      <c r="AA45" s="47">
        <f t="shared" si="18"/>
        <v>5609.7</v>
      </c>
      <c r="AB45" s="47">
        <f t="shared" si="19"/>
        <v>3116</v>
      </c>
      <c r="AC45" s="47">
        <v>471.9</v>
      </c>
      <c r="AD45" s="48">
        <v>0.98538000000000003</v>
      </c>
      <c r="AF45" s="22">
        <v>1397.7</v>
      </c>
      <c r="AG45" s="13">
        <v>1412.4</v>
      </c>
      <c r="AH45" s="13">
        <v>3.3677999999999999</v>
      </c>
      <c r="AI45" s="13">
        <v>3.0434999999999999</v>
      </c>
      <c r="AJ45" s="13">
        <v>6.1529999999999996</v>
      </c>
      <c r="AK45" s="5"/>
      <c r="AL45" s="22">
        <v>2543.8000000000002</v>
      </c>
      <c r="AM45" s="13">
        <v>2723.7</v>
      </c>
      <c r="AN45" s="13">
        <v>5.6097000000000001</v>
      </c>
      <c r="AO45" s="13">
        <v>3.1160000000000001</v>
      </c>
      <c r="AP45" s="13">
        <v>7.2130999999999998</v>
      </c>
      <c r="AS45" s="5"/>
      <c r="AW45" s="5"/>
    </row>
    <row r="46" spans="1:49">
      <c r="A46" s="117"/>
      <c r="B46" s="89">
        <v>102</v>
      </c>
      <c r="C46" s="85">
        <v>312.45999999999998</v>
      </c>
      <c r="D46" s="85">
        <v>685.1</v>
      </c>
      <c r="E46" s="69">
        <v>8.1168999999999995E-5</v>
      </c>
      <c r="F46" s="85">
        <f t="shared" si="10"/>
        <v>6182.8</v>
      </c>
      <c r="G46" s="85">
        <v>0.53288999999999997</v>
      </c>
      <c r="H46" s="69">
        <v>1.4595999999999999E-3</v>
      </c>
      <c r="I46" s="69">
        <f t="shared" si="11"/>
        <v>1401800</v>
      </c>
      <c r="J46" s="69">
        <f t="shared" si="12"/>
        <v>1416700</v>
      </c>
      <c r="K46" s="47">
        <f t="shared" si="13"/>
        <v>3374.8999999999996</v>
      </c>
      <c r="L46" s="47">
        <f t="shared" si="14"/>
        <v>3043.2000000000003</v>
      </c>
      <c r="M46" s="47">
        <v>838.77</v>
      </c>
      <c r="N46" s="69">
        <v>3.0790999999999999E-2</v>
      </c>
      <c r="O46" s="69">
        <v>1.1538E-2</v>
      </c>
      <c r="P46" s="49"/>
      <c r="Q46" s="49"/>
      <c r="R46" s="47">
        <v>102</v>
      </c>
      <c r="S46" s="47">
        <v>312.45999999999998</v>
      </c>
      <c r="T46" s="85">
        <v>56.843000000000004</v>
      </c>
      <c r="U46" s="69">
        <v>2.0282999999999999E-5</v>
      </c>
      <c r="V46" s="85">
        <f t="shared" si="15"/>
        <v>7286.5</v>
      </c>
      <c r="W46" s="69">
        <v>7.9485E-2</v>
      </c>
      <c r="X46" s="69">
        <v>1.7592E-2</v>
      </c>
      <c r="Y46" s="69">
        <f t="shared" si="16"/>
        <v>2542400</v>
      </c>
      <c r="Z46" s="69">
        <f t="shared" si="17"/>
        <v>2721800</v>
      </c>
      <c r="AA46" s="47">
        <f t="shared" si="18"/>
        <v>5603.5</v>
      </c>
      <c r="AB46" s="47">
        <f t="shared" si="19"/>
        <v>3125.4</v>
      </c>
      <c r="AC46" s="47">
        <v>471.29</v>
      </c>
      <c r="AD46" s="48">
        <v>0.97958999999999996</v>
      </c>
      <c r="AF46" s="22">
        <v>1401.8</v>
      </c>
      <c r="AG46" s="13">
        <v>1416.7</v>
      </c>
      <c r="AH46" s="13">
        <v>3.3748999999999998</v>
      </c>
      <c r="AI46" s="13">
        <v>3.0432000000000001</v>
      </c>
      <c r="AJ46" s="13">
        <v>6.1828000000000003</v>
      </c>
      <c r="AK46" s="5"/>
      <c r="AL46" s="22">
        <v>2542.4</v>
      </c>
      <c r="AM46" s="13">
        <v>2721.8</v>
      </c>
      <c r="AN46" s="13">
        <v>5.6035000000000004</v>
      </c>
      <c r="AO46" s="13">
        <v>3.1254</v>
      </c>
      <c r="AP46" s="13">
        <v>7.2865000000000002</v>
      </c>
      <c r="AS46" s="5"/>
      <c r="AW46" s="5"/>
    </row>
    <row r="47" spans="1:49">
      <c r="A47" s="117"/>
      <c r="B47" s="89">
        <v>103</v>
      </c>
      <c r="C47" s="85">
        <v>313.18</v>
      </c>
      <c r="D47" s="85">
        <v>683.43</v>
      </c>
      <c r="E47" s="69">
        <v>8.0896999999999995E-5</v>
      </c>
      <c r="F47" s="85">
        <f t="shared" si="10"/>
        <v>6213.0999999999995</v>
      </c>
      <c r="G47" s="85">
        <v>0.53169</v>
      </c>
      <c r="H47" s="69">
        <v>1.4632E-3</v>
      </c>
      <c r="I47" s="69">
        <f t="shared" si="11"/>
        <v>1405900</v>
      </c>
      <c r="J47" s="69">
        <f t="shared" si="12"/>
        <v>1420900</v>
      </c>
      <c r="K47" s="47">
        <f t="shared" si="13"/>
        <v>3381.9</v>
      </c>
      <c r="L47" s="47">
        <f t="shared" si="14"/>
        <v>3042.9</v>
      </c>
      <c r="M47" s="47">
        <v>834.51</v>
      </c>
      <c r="N47" s="69">
        <v>3.1426999999999997E-2</v>
      </c>
      <c r="O47" s="69">
        <v>1.1376000000000001E-2</v>
      </c>
      <c r="P47" s="49"/>
      <c r="Q47" s="49"/>
      <c r="R47" s="47">
        <v>103</v>
      </c>
      <c r="S47" s="47">
        <v>313.18</v>
      </c>
      <c r="T47" s="85">
        <v>57.54</v>
      </c>
      <c r="U47" s="69">
        <v>2.0327E-5</v>
      </c>
      <c r="V47" s="85">
        <f t="shared" si="15"/>
        <v>7360.9</v>
      </c>
      <c r="W47" s="69">
        <v>8.0064999999999997E-2</v>
      </c>
      <c r="X47" s="69">
        <v>1.7378999999999999E-2</v>
      </c>
      <c r="Y47" s="69">
        <f t="shared" si="16"/>
        <v>2540900</v>
      </c>
      <c r="Z47" s="69">
        <f t="shared" si="17"/>
        <v>2719900</v>
      </c>
      <c r="AA47" s="47">
        <f t="shared" si="18"/>
        <v>5597.4000000000005</v>
      </c>
      <c r="AB47" s="47">
        <f t="shared" si="19"/>
        <v>3134.9</v>
      </c>
      <c r="AC47" s="47">
        <v>470.67</v>
      </c>
      <c r="AD47" s="48">
        <v>0.97387000000000001</v>
      </c>
      <c r="AF47" s="22">
        <v>1405.9</v>
      </c>
      <c r="AG47" s="13">
        <v>1420.9</v>
      </c>
      <c r="AH47" s="13">
        <v>3.3818999999999999</v>
      </c>
      <c r="AI47" s="13">
        <v>3.0428999999999999</v>
      </c>
      <c r="AJ47" s="13">
        <v>6.2130999999999998</v>
      </c>
      <c r="AK47" s="5"/>
      <c r="AL47" s="22">
        <v>2540.9</v>
      </c>
      <c r="AM47" s="13">
        <v>2719.9</v>
      </c>
      <c r="AN47" s="13">
        <v>5.5974000000000004</v>
      </c>
      <c r="AO47" s="13">
        <v>3.1349</v>
      </c>
      <c r="AP47" s="13">
        <v>7.3609</v>
      </c>
      <c r="AS47" s="5"/>
      <c r="AW47" s="5"/>
    </row>
    <row r="48" spans="1:49">
      <c r="A48" s="117"/>
      <c r="B48" s="89">
        <v>104</v>
      </c>
      <c r="C48" s="85">
        <v>313.89</v>
      </c>
      <c r="D48" s="85">
        <v>681.77</v>
      </c>
      <c r="E48" s="69">
        <v>8.0626999999999999E-5</v>
      </c>
      <c r="F48" s="85">
        <f t="shared" si="10"/>
        <v>6243.8</v>
      </c>
      <c r="G48" s="85">
        <v>0.53049000000000002</v>
      </c>
      <c r="H48" s="69">
        <v>1.4668000000000001E-3</v>
      </c>
      <c r="I48" s="69">
        <f t="shared" si="11"/>
        <v>1410000</v>
      </c>
      <c r="J48" s="69">
        <f t="shared" si="12"/>
        <v>1425200</v>
      </c>
      <c r="K48" s="47">
        <f t="shared" si="13"/>
        <v>3388.9</v>
      </c>
      <c r="L48" s="47">
        <f t="shared" si="14"/>
        <v>3042.7</v>
      </c>
      <c r="M48" s="47">
        <v>830.26</v>
      </c>
      <c r="N48" s="69">
        <v>3.2070000000000001E-2</v>
      </c>
      <c r="O48" s="69">
        <v>1.1217E-2</v>
      </c>
      <c r="P48" s="49"/>
      <c r="Q48" s="49"/>
      <c r="R48" s="47">
        <v>104</v>
      </c>
      <c r="S48" s="47">
        <v>313.89</v>
      </c>
      <c r="T48" s="85">
        <v>58.24</v>
      </c>
      <c r="U48" s="69">
        <v>2.0372000000000001E-5</v>
      </c>
      <c r="V48" s="85">
        <f t="shared" si="15"/>
        <v>7436.5</v>
      </c>
      <c r="W48" s="69">
        <v>8.0652000000000001E-2</v>
      </c>
      <c r="X48" s="69">
        <v>1.7170000000000001E-2</v>
      </c>
      <c r="Y48" s="69">
        <f t="shared" si="16"/>
        <v>2539500</v>
      </c>
      <c r="Z48" s="69">
        <f t="shared" si="17"/>
        <v>2718000</v>
      </c>
      <c r="AA48" s="47">
        <f t="shared" si="18"/>
        <v>5591.2</v>
      </c>
      <c r="AB48" s="47">
        <f t="shared" si="19"/>
        <v>3144.2999999999997</v>
      </c>
      <c r="AC48" s="47">
        <v>470.05</v>
      </c>
      <c r="AD48" s="48">
        <v>0.96819999999999995</v>
      </c>
      <c r="AF48" s="22">
        <v>1410</v>
      </c>
      <c r="AG48" s="13">
        <v>1425.2</v>
      </c>
      <c r="AH48" s="13">
        <v>3.3889</v>
      </c>
      <c r="AI48" s="13">
        <v>3.0427</v>
      </c>
      <c r="AJ48" s="13">
        <v>6.2438000000000002</v>
      </c>
      <c r="AK48" s="5"/>
      <c r="AL48" s="22">
        <v>2539.5</v>
      </c>
      <c r="AM48" s="13">
        <v>2718</v>
      </c>
      <c r="AN48" s="13">
        <v>5.5911999999999997</v>
      </c>
      <c r="AO48" s="13">
        <v>3.1442999999999999</v>
      </c>
      <c r="AP48" s="13">
        <v>7.4364999999999997</v>
      </c>
      <c r="AS48" s="5"/>
      <c r="AW48" s="5"/>
    </row>
    <row r="49" spans="1:49">
      <c r="A49" s="117"/>
      <c r="B49" s="89">
        <v>105</v>
      </c>
      <c r="C49" s="85">
        <v>314.60000000000002</v>
      </c>
      <c r="D49" s="85">
        <v>680.11</v>
      </c>
      <c r="E49" s="69">
        <v>8.0358999999999994E-5</v>
      </c>
      <c r="F49" s="85">
        <f t="shared" si="10"/>
        <v>6274.9</v>
      </c>
      <c r="G49" s="85">
        <v>0.52929999999999999</v>
      </c>
      <c r="H49" s="69">
        <v>1.4702999999999999E-3</v>
      </c>
      <c r="I49" s="69">
        <f t="shared" si="11"/>
        <v>1414000</v>
      </c>
      <c r="J49" s="69">
        <f t="shared" si="12"/>
        <v>1429400</v>
      </c>
      <c r="K49" s="47">
        <f t="shared" si="13"/>
        <v>3395.9</v>
      </c>
      <c r="L49" s="47">
        <f t="shared" si="14"/>
        <v>3042.5</v>
      </c>
      <c r="M49" s="47">
        <v>826.02</v>
      </c>
      <c r="N49" s="69">
        <v>3.2719999999999999E-2</v>
      </c>
      <c r="O49" s="69">
        <v>1.1058E-2</v>
      </c>
      <c r="P49" s="49"/>
      <c r="Q49" s="49"/>
      <c r="R49" s="47">
        <v>105</v>
      </c>
      <c r="S49" s="47">
        <v>314.60000000000002</v>
      </c>
      <c r="T49" s="85">
        <v>58.945999999999998</v>
      </c>
      <c r="U49" s="69">
        <v>2.0415999999999999E-5</v>
      </c>
      <c r="V49" s="85">
        <f t="shared" si="15"/>
        <v>7513.3</v>
      </c>
      <c r="W49" s="69">
        <v>8.1244999999999998E-2</v>
      </c>
      <c r="X49" s="69">
        <v>1.6965000000000001E-2</v>
      </c>
      <c r="Y49" s="69">
        <f t="shared" si="16"/>
        <v>2538000</v>
      </c>
      <c r="Z49" s="69">
        <f t="shared" si="17"/>
        <v>2716100</v>
      </c>
      <c r="AA49" s="47">
        <f t="shared" si="18"/>
        <v>5585.0999999999995</v>
      </c>
      <c r="AB49" s="47">
        <f t="shared" si="19"/>
        <v>3153.7999999999997</v>
      </c>
      <c r="AC49" s="47">
        <v>469.43</v>
      </c>
      <c r="AD49" s="48">
        <v>0.96260000000000001</v>
      </c>
      <c r="AF49" s="22">
        <v>1414</v>
      </c>
      <c r="AG49" s="13">
        <v>1429.4</v>
      </c>
      <c r="AH49" s="13">
        <v>3.3959000000000001</v>
      </c>
      <c r="AI49" s="13">
        <v>3.0425</v>
      </c>
      <c r="AJ49" s="13">
        <v>6.2748999999999997</v>
      </c>
      <c r="AK49" s="5"/>
      <c r="AL49" s="22">
        <v>2538</v>
      </c>
      <c r="AM49" s="13">
        <v>2716.1</v>
      </c>
      <c r="AN49" s="13">
        <v>5.5850999999999997</v>
      </c>
      <c r="AO49" s="13">
        <v>3.1537999999999999</v>
      </c>
      <c r="AP49" s="13">
        <v>7.5133000000000001</v>
      </c>
      <c r="AS49" s="5"/>
      <c r="AW49" s="5"/>
    </row>
    <row r="50" spans="1:49">
      <c r="A50" s="117"/>
      <c r="B50" s="89">
        <v>106</v>
      </c>
      <c r="C50" s="85">
        <v>315.31</v>
      </c>
      <c r="D50" s="85">
        <v>678.45</v>
      </c>
      <c r="E50" s="69">
        <v>8.0092000000000005E-5</v>
      </c>
      <c r="F50" s="85">
        <f t="shared" si="10"/>
        <v>6306.6</v>
      </c>
      <c r="G50" s="85">
        <v>0.52810999999999997</v>
      </c>
      <c r="H50" s="69">
        <v>1.4739E-3</v>
      </c>
      <c r="I50" s="69">
        <f t="shared" si="11"/>
        <v>1418100</v>
      </c>
      <c r="J50" s="69">
        <f t="shared" si="12"/>
        <v>1433700</v>
      </c>
      <c r="K50" s="47">
        <f t="shared" si="13"/>
        <v>3402.8</v>
      </c>
      <c r="L50" s="47">
        <f t="shared" si="14"/>
        <v>3042.4</v>
      </c>
      <c r="M50" s="47">
        <v>821.8</v>
      </c>
      <c r="N50" s="69">
        <v>3.3376999999999997E-2</v>
      </c>
      <c r="O50" s="69">
        <v>1.0900999999999999E-2</v>
      </c>
      <c r="P50" s="49"/>
      <c r="Q50" s="49"/>
      <c r="R50" s="47">
        <v>106</v>
      </c>
      <c r="S50" s="47">
        <v>315.31</v>
      </c>
      <c r="T50" s="85">
        <v>59.655000000000001</v>
      </c>
      <c r="U50" s="69">
        <v>2.0460999999999999E-5</v>
      </c>
      <c r="V50" s="85">
        <f t="shared" si="15"/>
        <v>7591.2</v>
      </c>
      <c r="W50" s="69">
        <v>8.1846000000000002E-2</v>
      </c>
      <c r="X50" s="69">
        <v>1.6763E-2</v>
      </c>
      <c r="Y50" s="69">
        <f t="shared" si="16"/>
        <v>2536500</v>
      </c>
      <c r="Z50" s="69">
        <f t="shared" si="17"/>
        <v>2714200</v>
      </c>
      <c r="AA50" s="47">
        <f t="shared" si="18"/>
        <v>5578.9</v>
      </c>
      <c r="AB50" s="47">
        <f t="shared" si="19"/>
        <v>3163.2</v>
      </c>
      <c r="AC50" s="47">
        <v>468.8</v>
      </c>
      <c r="AD50" s="48">
        <v>0.95704999999999996</v>
      </c>
      <c r="AF50" s="22">
        <v>1418.1</v>
      </c>
      <c r="AG50" s="13">
        <v>1433.7</v>
      </c>
      <c r="AH50" s="13">
        <v>3.4028</v>
      </c>
      <c r="AI50" s="13">
        <v>3.0424000000000002</v>
      </c>
      <c r="AJ50" s="13">
        <v>6.3066000000000004</v>
      </c>
      <c r="AK50" s="5"/>
      <c r="AL50" s="22">
        <v>2536.5</v>
      </c>
      <c r="AM50" s="13">
        <v>2714.2</v>
      </c>
      <c r="AN50" s="13">
        <v>5.5789</v>
      </c>
      <c r="AO50" s="13">
        <v>3.1631999999999998</v>
      </c>
      <c r="AP50" s="13">
        <v>7.5911999999999997</v>
      </c>
      <c r="AS50" s="5"/>
      <c r="AW50" s="5"/>
    </row>
    <row r="51" spans="1:49">
      <c r="A51" s="117"/>
      <c r="B51" s="89">
        <v>107</v>
      </c>
      <c r="C51" s="85">
        <v>316.01</v>
      </c>
      <c r="D51" s="85">
        <v>676.79</v>
      </c>
      <c r="E51" s="69">
        <v>7.9827000000000007E-5</v>
      </c>
      <c r="F51" s="85">
        <f t="shared" si="10"/>
        <v>6338.7</v>
      </c>
      <c r="G51" s="85">
        <v>0.52692000000000005</v>
      </c>
      <c r="H51" s="69">
        <v>1.4775999999999999E-3</v>
      </c>
      <c r="I51" s="69">
        <f t="shared" si="11"/>
        <v>1422100</v>
      </c>
      <c r="J51" s="69">
        <f t="shared" si="12"/>
        <v>1437900</v>
      </c>
      <c r="K51" s="47">
        <f t="shared" si="13"/>
        <v>3409.7</v>
      </c>
      <c r="L51" s="47">
        <f t="shared" si="14"/>
        <v>3042.3</v>
      </c>
      <c r="M51" s="47">
        <v>817.58</v>
      </c>
      <c r="N51" s="69">
        <v>3.4041000000000002E-2</v>
      </c>
      <c r="O51" s="69">
        <v>1.0746E-2</v>
      </c>
      <c r="P51" s="49"/>
      <c r="Q51" s="49"/>
      <c r="R51" s="47">
        <v>107</v>
      </c>
      <c r="S51" s="47">
        <v>316.01</v>
      </c>
      <c r="T51" s="85">
        <v>60.37</v>
      </c>
      <c r="U51" s="69">
        <v>2.0506E-5</v>
      </c>
      <c r="V51" s="85">
        <f t="shared" si="15"/>
        <v>7670.3</v>
      </c>
      <c r="W51" s="69">
        <v>8.2452999999999999E-2</v>
      </c>
      <c r="X51" s="69">
        <v>1.6565E-2</v>
      </c>
      <c r="Y51" s="69">
        <f t="shared" si="16"/>
        <v>2535000</v>
      </c>
      <c r="Z51" s="69">
        <f t="shared" si="17"/>
        <v>2712300</v>
      </c>
      <c r="AA51" s="47">
        <f t="shared" si="18"/>
        <v>5572.8</v>
      </c>
      <c r="AB51" s="47">
        <f t="shared" si="19"/>
        <v>3172.6</v>
      </c>
      <c r="AC51" s="47">
        <v>468.18</v>
      </c>
      <c r="AD51" s="48">
        <v>0.95157000000000003</v>
      </c>
      <c r="AF51" s="22">
        <v>1422.1</v>
      </c>
      <c r="AG51" s="13">
        <v>1437.9</v>
      </c>
      <c r="AH51" s="13">
        <v>3.4097</v>
      </c>
      <c r="AI51" s="13">
        <v>3.0423</v>
      </c>
      <c r="AJ51" s="13">
        <v>6.3387000000000002</v>
      </c>
      <c r="AK51" s="5"/>
      <c r="AL51" s="22">
        <v>2535</v>
      </c>
      <c r="AM51" s="13">
        <v>2712.3</v>
      </c>
      <c r="AN51" s="13">
        <v>5.5728</v>
      </c>
      <c r="AO51" s="13">
        <v>3.1726000000000001</v>
      </c>
      <c r="AP51" s="13">
        <v>7.6703000000000001</v>
      </c>
      <c r="AS51" s="5"/>
      <c r="AW51" s="5"/>
    </row>
    <row r="52" spans="1:49">
      <c r="A52" s="117"/>
      <c r="B52" s="89">
        <v>108</v>
      </c>
      <c r="C52" s="85">
        <v>316.7</v>
      </c>
      <c r="D52" s="85">
        <v>675.13</v>
      </c>
      <c r="E52" s="69">
        <v>7.9563999999999999E-5</v>
      </c>
      <c r="F52" s="85">
        <f t="shared" si="10"/>
        <v>6371.4000000000005</v>
      </c>
      <c r="G52" s="85">
        <v>0.52573000000000003</v>
      </c>
      <c r="H52" s="69">
        <v>1.4812E-3</v>
      </c>
      <c r="I52" s="69">
        <f t="shared" si="11"/>
        <v>1426100</v>
      </c>
      <c r="J52" s="69">
        <f t="shared" si="12"/>
        <v>1442100</v>
      </c>
      <c r="K52" s="47">
        <f t="shared" si="13"/>
        <v>3416.6</v>
      </c>
      <c r="L52" s="47">
        <f t="shared" si="14"/>
        <v>3042.3</v>
      </c>
      <c r="M52" s="47">
        <v>813.38</v>
      </c>
      <c r="N52" s="69">
        <v>3.4713000000000001E-2</v>
      </c>
      <c r="O52" s="69">
        <v>1.0592000000000001E-2</v>
      </c>
      <c r="P52" s="49"/>
      <c r="Q52" s="49"/>
      <c r="R52" s="47">
        <v>108</v>
      </c>
      <c r="S52" s="47">
        <v>316.7</v>
      </c>
      <c r="T52" s="85">
        <v>61.088999999999999</v>
      </c>
      <c r="U52" s="69">
        <v>2.0551999999999999E-5</v>
      </c>
      <c r="V52" s="85">
        <f t="shared" si="15"/>
        <v>7750.7</v>
      </c>
      <c r="W52" s="69">
        <v>8.3068000000000003E-2</v>
      </c>
      <c r="X52" s="69">
        <v>1.6369999999999999E-2</v>
      </c>
      <c r="Y52" s="69">
        <f t="shared" si="16"/>
        <v>2533500</v>
      </c>
      <c r="Z52" s="69">
        <f t="shared" si="17"/>
        <v>2710300</v>
      </c>
      <c r="AA52" s="47">
        <f t="shared" si="18"/>
        <v>5566.7</v>
      </c>
      <c r="AB52" s="47">
        <f t="shared" si="19"/>
        <v>3182</v>
      </c>
      <c r="AC52" s="47">
        <v>467.54</v>
      </c>
      <c r="AD52" s="48">
        <v>0.94613999999999998</v>
      </c>
      <c r="AF52" s="22">
        <v>1426.1</v>
      </c>
      <c r="AG52" s="13">
        <v>1442.1</v>
      </c>
      <c r="AH52" s="13">
        <v>3.4165999999999999</v>
      </c>
      <c r="AI52" s="13">
        <v>3.0423</v>
      </c>
      <c r="AJ52" s="13">
        <v>6.3714000000000004</v>
      </c>
      <c r="AK52" s="5"/>
      <c r="AL52" s="22">
        <v>2533.5</v>
      </c>
      <c r="AM52" s="13">
        <v>2710.3</v>
      </c>
      <c r="AN52" s="13">
        <v>5.5667</v>
      </c>
      <c r="AO52" s="13">
        <v>3.1819999999999999</v>
      </c>
      <c r="AP52" s="13">
        <v>7.7507000000000001</v>
      </c>
      <c r="AS52" s="5"/>
      <c r="AW52" s="5"/>
    </row>
    <row r="53" spans="1:49">
      <c r="A53" s="117"/>
      <c r="B53" s="89">
        <v>109</v>
      </c>
      <c r="C53" s="85">
        <v>317.39</v>
      </c>
      <c r="D53" s="85">
        <v>673.47</v>
      </c>
      <c r="E53" s="69">
        <v>7.9301999999999994E-5</v>
      </c>
      <c r="F53" s="85">
        <f t="shared" si="10"/>
        <v>6404.6</v>
      </c>
      <c r="G53" s="85">
        <v>0.52454999999999996</v>
      </c>
      <c r="H53" s="69">
        <v>1.4848000000000001E-3</v>
      </c>
      <c r="I53" s="69">
        <f t="shared" si="11"/>
        <v>1430100</v>
      </c>
      <c r="J53" s="69">
        <f t="shared" si="12"/>
        <v>1446300</v>
      </c>
      <c r="K53" s="47">
        <f t="shared" si="13"/>
        <v>3423.4</v>
      </c>
      <c r="L53" s="47">
        <f t="shared" si="14"/>
        <v>3042.3</v>
      </c>
      <c r="M53" s="47">
        <v>809.18</v>
      </c>
      <c r="N53" s="69">
        <v>3.5393000000000001E-2</v>
      </c>
      <c r="O53" s="69">
        <v>1.0439E-2</v>
      </c>
      <c r="P53" s="49"/>
      <c r="Q53" s="49"/>
      <c r="R53" s="47">
        <v>109</v>
      </c>
      <c r="S53" s="47">
        <v>317.39</v>
      </c>
      <c r="T53" s="85">
        <v>61.811999999999998</v>
      </c>
      <c r="U53" s="69">
        <v>2.0596999999999999E-5</v>
      </c>
      <c r="V53" s="85">
        <f t="shared" si="15"/>
        <v>7832.4</v>
      </c>
      <c r="W53" s="69">
        <v>8.3690000000000001E-2</v>
      </c>
      <c r="X53" s="69">
        <v>1.6178000000000001E-2</v>
      </c>
      <c r="Y53" s="69">
        <f t="shared" si="16"/>
        <v>2532000</v>
      </c>
      <c r="Z53" s="69">
        <f t="shared" si="17"/>
        <v>2708300</v>
      </c>
      <c r="AA53" s="47">
        <f t="shared" si="18"/>
        <v>5560.6</v>
      </c>
      <c r="AB53" s="47">
        <f t="shared" si="19"/>
        <v>3191.5</v>
      </c>
      <c r="AC53" s="47">
        <v>466.91</v>
      </c>
      <c r="AD53" s="48">
        <v>0.94076000000000004</v>
      </c>
      <c r="AF53" s="22">
        <v>1430.1</v>
      </c>
      <c r="AG53" s="13">
        <v>1446.3</v>
      </c>
      <c r="AH53" s="13">
        <v>3.4234</v>
      </c>
      <c r="AI53" s="13">
        <v>3.0423</v>
      </c>
      <c r="AJ53" s="13">
        <v>6.4046000000000003</v>
      </c>
      <c r="AK53" s="5"/>
      <c r="AL53" s="22">
        <v>2532</v>
      </c>
      <c r="AM53" s="13">
        <v>2708.3</v>
      </c>
      <c r="AN53" s="13">
        <v>5.5606</v>
      </c>
      <c r="AO53" s="13">
        <v>3.1915</v>
      </c>
      <c r="AP53" s="13">
        <v>7.8323999999999998</v>
      </c>
      <c r="AS53" s="5"/>
      <c r="AW53" s="5"/>
    </row>
    <row r="54" spans="1:49">
      <c r="A54" s="117"/>
      <c r="B54" s="89">
        <v>110</v>
      </c>
      <c r="C54" s="85">
        <v>318.08</v>
      </c>
      <c r="D54" s="85">
        <v>671.81</v>
      </c>
      <c r="E54" s="69">
        <v>7.9042000000000007E-5</v>
      </c>
      <c r="F54" s="85">
        <f t="shared" si="10"/>
        <v>6438.3</v>
      </c>
      <c r="G54" s="85">
        <v>0.52337</v>
      </c>
      <c r="H54" s="69">
        <v>1.4885E-3</v>
      </c>
      <c r="I54" s="69">
        <f t="shared" si="11"/>
        <v>1434100</v>
      </c>
      <c r="J54" s="69">
        <f t="shared" si="12"/>
        <v>1450400</v>
      </c>
      <c r="K54" s="47">
        <f t="shared" si="13"/>
        <v>3430.2999999999997</v>
      </c>
      <c r="L54" s="47">
        <f t="shared" si="14"/>
        <v>3042.4</v>
      </c>
      <c r="M54" s="47">
        <v>805</v>
      </c>
      <c r="N54" s="69">
        <v>3.6080000000000001E-2</v>
      </c>
      <c r="O54" s="69">
        <v>1.0286999999999999E-2</v>
      </c>
      <c r="P54" s="49"/>
      <c r="Q54" s="49"/>
      <c r="R54" s="47">
        <v>110</v>
      </c>
      <c r="S54" s="47">
        <v>318.08</v>
      </c>
      <c r="T54" s="85">
        <v>62.540999999999997</v>
      </c>
      <c r="U54" s="69">
        <v>2.0642E-5</v>
      </c>
      <c r="V54" s="85">
        <f t="shared" si="15"/>
        <v>7915.4</v>
      </c>
      <c r="W54" s="69">
        <v>8.4320999999999993E-2</v>
      </c>
      <c r="X54" s="69">
        <v>1.5990000000000001E-2</v>
      </c>
      <c r="Y54" s="69">
        <f t="shared" si="16"/>
        <v>2530500</v>
      </c>
      <c r="Z54" s="69">
        <f t="shared" si="17"/>
        <v>2706300</v>
      </c>
      <c r="AA54" s="47">
        <f t="shared" si="18"/>
        <v>5554.5</v>
      </c>
      <c r="AB54" s="47">
        <f t="shared" si="19"/>
        <v>3200.8999999999996</v>
      </c>
      <c r="AC54" s="47">
        <v>466.27</v>
      </c>
      <c r="AD54" s="48">
        <v>0.93544000000000005</v>
      </c>
      <c r="AF54" s="22">
        <v>1434.1</v>
      </c>
      <c r="AG54" s="13">
        <v>1450.4</v>
      </c>
      <c r="AH54" s="13">
        <v>3.4302999999999999</v>
      </c>
      <c r="AI54" s="13">
        <v>3.0424000000000002</v>
      </c>
      <c r="AJ54" s="13">
        <v>6.4382999999999999</v>
      </c>
      <c r="AK54" s="5"/>
      <c r="AL54" s="22">
        <v>2530.5</v>
      </c>
      <c r="AM54" s="13">
        <v>2706.3</v>
      </c>
      <c r="AN54" s="13">
        <v>5.5545</v>
      </c>
      <c r="AO54" s="13">
        <v>3.2008999999999999</v>
      </c>
      <c r="AP54" s="13">
        <v>7.9154</v>
      </c>
      <c r="AS54" s="5"/>
      <c r="AW54" s="5"/>
    </row>
    <row r="55" spans="1:49">
      <c r="A55" s="117"/>
      <c r="B55" s="89">
        <v>111</v>
      </c>
      <c r="C55" s="85">
        <v>318.76</v>
      </c>
      <c r="D55" s="85">
        <v>670.15</v>
      </c>
      <c r="E55" s="69">
        <v>7.8782999999999994E-5</v>
      </c>
      <c r="F55" s="85">
        <f t="shared" si="10"/>
        <v>6472.6</v>
      </c>
      <c r="G55" s="85">
        <v>0.52219000000000004</v>
      </c>
      <c r="H55" s="69">
        <v>1.4922E-3</v>
      </c>
      <c r="I55" s="69">
        <f t="shared" si="11"/>
        <v>1438000</v>
      </c>
      <c r="J55" s="69">
        <f t="shared" si="12"/>
        <v>1454600</v>
      </c>
      <c r="K55" s="47">
        <f t="shared" si="13"/>
        <v>3437</v>
      </c>
      <c r="L55" s="47">
        <f t="shared" si="14"/>
        <v>3042.5</v>
      </c>
      <c r="M55" s="47">
        <v>800.83</v>
      </c>
      <c r="N55" s="69">
        <v>3.6776000000000003E-2</v>
      </c>
      <c r="O55" s="69">
        <v>1.0137E-2</v>
      </c>
      <c r="P55" s="49"/>
      <c r="Q55" s="49"/>
      <c r="R55" s="47">
        <v>111</v>
      </c>
      <c r="S55" s="47">
        <v>318.76</v>
      </c>
      <c r="T55" s="85">
        <v>63.274000000000001</v>
      </c>
      <c r="U55" s="69">
        <v>2.0687999999999999E-5</v>
      </c>
      <c r="V55" s="85">
        <f t="shared" si="15"/>
        <v>7999.7999999999993</v>
      </c>
      <c r="W55" s="69">
        <v>8.4959000000000007E-2</v>
      </c>
      <c r="X55" s="69">
        <v>1.5803999999999999E-2</v>
      </c>
      <c r="Y55" s="69">
        <f t="shared" si="16"/>
        <v>2528900</v>
      </c>
      <c r="Z55" s="69">
        <f t="shared" si="17"/>
        <v>2704300</v>
      </c>
      <c r="AA55" s="47">
        <f t="shared" si="18"/>
        <v>5548.4</v>
      </c>
      <c r="AB55" s="47">
        <f t="shared" si="19"/>
        <v>3210.2</v>
      </c>
      <c r="AC55" s="47">
        <v>465.63</v>
      </c>
      <c r="AD55" s="48">
        <v>0.93017000000000005</v>
      </c>
      <c r="AF55" s="22">
        <v>1438</v>
      </c>
      <c r="AG55" s="13">
        <v>1454.6</v>
      </c>
      <c r="AH55" s="13">
        <v>3.4369999999999998</v>
      </c>
      <c r="AI55" s="13">
        <v>3.0425</v>
      </c>
      <c r="AJ55" s="13">
        <v>6.4725999999999999</v>
      </c>
      <c r="AK55" s="5"/>
      <c r="AL55" s="22">
        <v>2528.9</v>
      </c>
      <c r="AM55" s="13">
        <v>2704.3</v>
      </c>
      <c r="AN55" s="13">
        <v>5.5484</v>
      </c>
      <c r="AO55" s="13">
        <v>3.2101999999999999</v>
      </c>
      <c r="AP55" s="13">
        <v>7.9997999999999996</v>
      </c>
      <c r="AS55" s="5"/>
      <c r="AW55" s="5"/>
    </row>
    <row r="56" spans="1:49">
      <c r="A56" s="117"/>
      <c r="B56" s="89">
        <v>112</v>
      </c>
      <c r="C56" s="85">
        <v>319.43</v>
      </c>
      <c r="D56" s="85">
        <v>668.49</v>
      </c>
      <c r="E56" s="69">
        <v>7.8526E-5</v>
      </c>
      <c r="F56" s="85">
        <f t="shared" si="10"/>
        <v>6507.5</v>
      </c>
      <c r="G56" s="85">
        <v>0.52100999999999997</v>
      </c>
      <c r="H56" s="69">
        <v>1.4959000000000001E-3</v>
      </c>
      <c r="I56" s="69">
        <f t="shared" si="11"/>
        <v>1442000</v>
      </c>
      <c r="J56" s="69">
        <f t="shared" si="12"/>
        <v>1458700</v>
      </c>
      <c r="K56" s="47">
        <f t="shared" si="13"/>
        <v>3443.8</v>
      </c>
      <c r="L56" s="47">
        <f t="shared" si="14"/>
        <v>3042.6000000000004</v>
      </c>
      <c r="M56" s="47">
        <v>796.66</v>
      </c>
      <c r="N56" s="69">
        <v>3.7479999999999999E-2</v>
      </c>
      <c r="O56" s="69">
        <v>9.9886999999999997E-3</v>
      </c>
      <c r="P56" s="49"/>
      <c r="Q56" s="49"/>
      <c r="R56" s="47">
        <v>112</v>
      </c>
      <c r="S56" s="47">
        <v>319.43</v>
      </c>
      <c r="T56" s="85">
        <v>64.012</v>
      </c>
      <c r="U56" s="69">
        <v>2.0733999999999998E-5</v>
      </c>
      <c r="V56" s="85">
        <f t="shared" si="15"/>
        <v>8085.5</v>
      </c>
      <c r="W56" s="69">
        <v>8.5605000000000001E-2</v>
      </c>
      <c r="X56" s="69">
        <v>1.5622E-2</v>
      </c>
      <c r="Y56" s="69">
        <f t="shared" si="16"/>
        <v>2527300</v>
      </c>
      <c r="Z56" s="69">
        <f t="shared" si="17"/>
        <v>2702300</v>
      </c>
      <c r="AA56" s="47">
        <f t="shared" si="18"/>
        <v>5542.3</v>
      </c>
      <c r="AB56" s="47">
        <f t="shared" si="19"/>
        <v>3219.6</v>
      </c>
      <c r="AC56" s="47">
        <v>464.98</v>
      </c>
      <c r="AD56" s="48">
        <v>0.92495000000000005</v>
      </c>
      <c r="AF56" s="22">
        <v>1442</v>
      </c>
      <c r="AG56" s="13">
        <v>1458.7</v>
      </c>
      <c r="AH56" s="13">
        <v>3.4438</v>
      </c>
      <c r="AI56" s="13">
        <v>3.0426000000000002</v>
      </c>
      <c r="AJ56" s="13">
        <v>6.5075000000000003</v>
      </c>
      <c r="AK56" s="5"/>
      <c r="AL56" s="22">
        <v>2527.3000000000002</v>
      </c>
      <c r="AM56" s="13">
        <v>2702.3</v>
      </c>
      <c r="AN56" s="13">
        <v>5.5423</v>
      </c>
      <c r="AO56" s="13">
        <v>3.2195999999999998</v>
      </c>
      <c r="AP56" s="13">
        <v>8.0854999999999997</v>
      </c>
      <c r="AS56" s="5"/>
      <c r="AW56" s="5"/>
    </row>
    <row r="57" spans="1:49">
      <c r="A57" s="117"/>
      <c r="B57" s="89">
        <v>113</v>
      </c>
      <c r="C57" s="85">
        <v>320.11</v>
      </c>
      <c r="D57" s="85">
        <v>666.83</v>
      </c>
      <c r="E57" s="69">
        <v>7.8269999999999994E-5</v>
      </c>
      <c r="F57" s="85">
        <f t="shared" si="10"/>
        <v>6543</v>
      </c>
      <c r="G57" s="85">
        <v>0.51983999999999997</v>
      </c>
      <c r="H57" s="69">
        <v>1.4996E-3</v>
      </c>
      <c r="I57" s="69">
        <f t="shared" si="11"/>
        <v>1445900</v>
      </c>
      <c r="J57" s="69">
        <f t="shared" si="12"/>
        <v>1462900</v>
      </c>
      <c r="K57" s="47">
        <f t="shared" si="13"/>
        <v>3450.5</v>
      </c>
      <c r="L57" s="47">
        <f t="shared" si="14"/>
        <v>3042.8</v>
      </c>
      <c r="M57" s="47">
        <v>792.51</v>
      </c>
      <c r="N57" s="69">
        <v>3.8191999999999997E-2</v>
      </c>
      <c r="O57" s="69">
        <v>9.8413000000000007E-3</v>
      </c>
      <c r="P57" s="49"/>
      <c r="Q57" s="49"/>
      <c r="R57" s="47">
        <v>113</v>
      </c>
      <c r="S57" s="47">
        <v>320.11</v>
      </c>
      <c r="T57" s="85">
        <v>64.756</v>
      </c>
      <c r="U57" s="69">
        <v>2.0780000000000001E-5</v>
      </c>
      <c r="V57" s="85">
        <f t="shared" si="15"/>
        <v>8172.7000000000007</v>
      </c>
      <c r="W57" s="69">
        <v>8.6260000000000003E-2</v>
      </c>
      <c r="X57" s="69">
        <v>1.5443E-2</v>
      </c>
      <c r="Y57" s="69">
        <f t="shared" si="16"/>
        <v>2525800</v>
      </c>
      <c r="Z57" s="69">
        <f t="shared" si="17"/>
        <v>2700300</v>
      </c>
      <c r="AA57" s="47">
        <f t="shared" si="18"/>
        <v>5536.3</v>
      </c>
      <c r="AB57" s="47">
        <f t="shared" si="19"/>
        <v>3229</v>
      </c>
      <c r="AC57" s="47">
        <v>464.33</v>
      </c>
      <c r="AD57" s="48">
        <v>0.91976999999999998</v>
      </c>
      <c r="AF57" s="22">
        <v>1445.9</v>
      </c>
      <c r="AG57" s="13">
        <v>1462.9</v>
      </c>
      <c r="AH57" s="13">
        <v>3.4504999999999999</v>
      </c>
      <c r="AI57" s="13">
        <v>3.0428000000000002</v>
      </c>
      <c r="AJ57" s="13">
        <v>6.5430000000000001</v>
      </c>
      <c r="AK57" s="5"/>
      <c r="AL57" s="22">
        <v>2525.8000000000002</v>
      </c>
      <c r="AM57" s="13">
        <v>2700.3</v>
      </c>
      <c r="AN57" s="13">
        <v>5.5362999999999998</v>
      </c>
      <c r="AO57" s="13">
        <v>3.2290000000000001</v>
      </c>
      <c r="AP57" s="13">
        <v>8.1727000000000007</v>
      </c>
      <c r="AS57" s="5"/>
      <c r="AW57" s="5"/>
    </row>
    <row r="58" spans="1:49">
      <c r="A58" s="117"/>
      <c r="B58" s="89">
        <v>114</v>
      </c>
      <c r="C58" s="85">
        <v>320.77</v>
      </c>
      <c r="D58" s="85">
        <v>665.17</v>
      </c>
      <c r="E58" s="69">
        <v>7.8016000000000007E-5</v>
      </c>
      <c r="F58" s="85">
        <f t="shared" si="10"/>
        <v>6579</v>
      </c>
      <c r="G58" s="85">
        <v>0.51866000000000001</v>
      </c>
      <c r="H58" s="69">
        <v>1.5034E-3</v>
      </c>
      <c r="I58" s="69">
        <f t="shared" si="11"/>
        <v>1449900</v>
      </c>
      <c r="J58" s="69">
        <f t="shared" si="12"/>
        <v>1467000</v>
      </c>
      <c r="K58" s="47">
        <f t="shared" si="13"/>
        <v>3457.2</v>
      </c>
      <c r="L58" s="47">
        <f t="shared" si="14"/>
        <v>3043</v>
      </c>
      <c r="M58" s="47">
        <v>788.36</v>
      </c>
      <c r="N58" s="69">
        <v>3.8912000000000002E-2</v>
      </c>
      <c r="O58" s="69">
        <v>9.6951999999999993E-3</v>
      </c>
      <c r="P58" s="49"/>
      <c r="Q58" s="49"/>
      <c r="R58" s="47">
        <v>114</v>
      </c>
      <c r="S58" s="47">
        <v>320.77</v>
      </c>
      <c r="T58" s="85">
        <v>65.504000000000005</v>
      </c>
      <c r="U58" s="69">
        <v>2.0826E-5</v>
      </c>
      <c r="V58" s="85">
        <f t="shared" si="15"/>
        <v>8261.4</v>
      </c>
      <c r="W58" s="69">
        <v>8.6923E-2</v>
      </c>
      <c r="X58" s="69">
        <v>1.5266E-2</v>
      </c>
      <c r="Y58" s="69">
        <f t="shared" si="16"/>
        <v>2524200</v>
      </c>
      <c r="Z58" s="69">
        <f t="shared" si="17"/>
        <v>2698200</v>
      </c>
      <c r="AA58" s="47">
        <f t="shared" si="18"/>
        <v>5530.2</v>
      </c>
      <c r="AB58" s="47">
        <f t="shared" si="19"/>
        <v>3238.4</v>
      </c>
      <c r="AC58" s="47">
        <v>463.68</v>
      </c>
      <c r="AD58" s="48">
        <v>0.91464999999999996</v>
      </c>
      <c r="AF58" s="22">
        <v>1449.9</v>
      </c>
      <c r="AG58" s="13">
        <v>1467</v>
      </c>
      <c r="AH58" s="13">
        <v>3.4571999999999998</v>
      </c>
      <c r="AI58" s="13">
        <v>3.0430000000000001</v>
      </c>
      <c r="AJ58" s="13">
        <v>6.5789999999999997</v>
      </c>
      <c r="AK58" s="5"/>
      <c r="AL58" s="22">
        <v>2524.1999999999998</v>
      </c>
      <c r="AM58" s="13">
        <v>2698.2</v>
      </c>
      <c r="AN58" s="13">
        <v>5.5301999999999998</v>
      </c>
      <c r="AO58" s="13">
        <v>3.2383999999999999</v>
      </c>
      <c r="AP58" s="13">
        <v>8.2614000000000001</v>
      </c>
      <c r="AS58" s="5"/>
      <c r="AW58" s="5"/>
    </row>
    <row r="59" spans="1:49">
      <c r="A59" s="117"/>
      <c r="B59" s="89">
        <v>115</v>
      </c>
      <c r="C59" s="85">
        <v>321.43</v>
      </c>
      <c r="D59" s="85">
        <v>663.51</v>
      </c>
      <c r="E59" s="69">
        <v>7.7762000000000005E-5</v>
      </c>
      <c r="F59" s="85">
        <f t="shared" si="10"/>
        <v>6615.7000000000007</v>
      </c>
      <c r="G59" s="85">
        <v>0.51749000000000001</v>
      </c>
      <c r="H59" s="69">
        <v>1.5070999999999999E-3</v>
      </c>
      <c r="I59" s="69">
        <f t="shared" si="11"/>
        <v>1453800</v>
      </c>
      <c r="J59" s="69">
        <f t="shared" si="12"/>
        <v>1471100</v>
      </c>
      <c r="K59" s="47">
        <f t="shared" si="13"/>
        <v>3463.8</v>
      </c>
      <c r="L59" s="47">
        <f t="shared" si="14"/>
        <v>3043.2999999999997</v>
      </c>
      <c r="M59" s="47">
        <v>784.22</v>
      </c>
      <c r="N59" s="69">
        <v>3.9641000000000003E-2</v>
      </c>
      <c r="O59" s="69">
        <v>9.5502999999999994E-3</v>
      </c>
      <c r="P59" s="49"/>
      <c r="Q59" s="49"/>
      <c r="R59" s="47">
        <v>115</v>
      </c>
      <c r="S59" s="47">
        <v>321.43</v>
      </c>
      <c r="T59" s="85">
        <v>66.257000000000005</v>
      </c>
      <c r="U59" s="69">
        <v>2.0873000000000002E-5</v>
      </c>
      <c r="V59" s="85">
        <f t="shared" si="15"/>
        <v>8351.6</v>
      </c>
      <c r="W59" s="69">
        <v>8.7595000000000006E-2</v>
      </c>
      <c r="X59" s="69">
        <v>1.5093000000000001E-2</v>
      </c>
      <c r="Y59" s="69">
        <f t="shared" si="16"/>
        <v>2522600</v>
      </c>
      <c r="Z59" s="69">
        <f t="shared" si="17"/>
        <v>2696100</v>
      </c>
      <c r="AA59" s="47">
        <f t="shared" si="18"/>
        <v>5524.0999999999995</v>
      </c>
      <c r="AB59" s="47">
        <f t="shared" si="19"/>
        <v>3247.7999999999997</v>
      </c>
      <c r="AC59" s="47">
        <v>463.02</v>
      </c>
      <c r="AD59" s="48">
        <v>0.90956999999999999</v>
      </c>
      <c r="AF59" s="22">
        <v>1453.8</v>
      </c>
      <c r="AG59" s="13">
        <v>1471.1</v>
      </c>
      <c r="AH59" s="13">
        <v>3.4638</v>
      </c>
      <c r="AI59" s="13">
        <v>3.0432999999999999</v>
      </c>
      <c r="AJ59" s="13">
        <v>6.6157000000000004</v>
      </c>
      <c r="AK59" s="5"/>
      <c r="AL59" s="22">
        <v>2522.6</v>
      </c>
      <c r="AM59" s="13">
        <v>2696.1</v>
      </c>
      <c r="AN59" s="13">
        <v>5.5240999999999998</v>
      </c>
      <c r="AO59" s="13">
        <v>3.2477999999999998</v>
      </c>
      <c r="AP59" s="13">
        <v>8.3515999999999995</v>
      </c>
      <c r="AS59" s="5"/>
      <c r="AW59" s="5"/>
    </row>
    <row r="60" spans="1:49">
      <c r="A60" s="117"/>
      <c r="B60" s="89">
        <v>116</v>
      </c>
      <c r="C60" s="85">
        <v>322.08999999999997</v>
      </c>
      <c r="D60" s="85">
        <v>661.85</v>
      </c>
      <c r="E60" s="69">
        <v>7.7509999999999995E-5</v>
      </c>
      <c r="F60" s="85">
        <f t="shared" si="10"/>
        <v>6653</v>
      </c>
      <c r="G60" s="85">
        <v>0.51632</v>
      </c>
      <c r="H60" s="69">
        <v>1.5108999999999999E-3</v>
      </c>
      <c r="I60" s="69">
        <f t="shared" si="11"/>
        <v>1457700</v>
      </c>
      <c r="J60" s="69">
        <f t="shared" si="12"/>
        <v>1475200</v>
      </c>
      <c r="K60" s="47">
        <f t="shared" si="13"/>
        <v>3470.5</v>
      </c>
      <c r="L60" s="47">
        <f t="shared" si="14"/>
        <v>3043.6</v>
      </c>
      <c r="M60" s="47">
        <v>780.09</v>
      </c>
      <c r="N60" s="69">
        <v>4.0378999999999998E-2</v>
      </c>
      <c r="O60" s="69">
        <v>9.4067000000000005E-3</v>
      </c>
      <c r="P60" s="49"/>
      <c r="Q60" s="49"/>
      <c r="R60" s="47">
        <v>116</v>
      </c>
      <c r="S60" s="47">
        <v>322.08999999999997</v>
      </c>
      <c r="T60" s="85">
        <v>67.016000000000005</v>
      </c>
      <c r="U60" s="69">
        <v>2.092E-5</v>
      </c>
      <c r="V60" s="85">
        <f t="shared" si="15"/>
        <v>8443.4</v>
      </c>
      <c r="W60" s="69">
        <v>8.8276999999999994E-2</v>
      </c>
      <c r="X60" s="69">
        <v>1.4922E-2</v>
      </c>
      <c r="Y60" s="69">
        <f t="shared" si="16"/>
        <v>2520900</v>
      </c>
      <c r="Z60" s="69">
        <f t="shared" si="17"/>
        <v>2694000</v>
      </c>
      <c r="AA60" s="47">
        <f t="shared" si="18"/>
        <v>5518.0999999999995</v>
      </c>
      <c r="AB60" s="47">
        <f t="shared" si="19"/>
        <v>3257.2000000000003</v>
      </c>
      <c r="AC60" s="47">
        <v>462.36</v>
      </c>
      <c r="AD60" s="48">
        <v>0.90454000000000001</v>
      </c>
      <c r="AF60" s="22">
        <v>1457.7</v>
      </c>
      <c r="AG60" s="13">
        <v>1475.2</v>
      </c>
      <c r="AH60" s="13">
        <v>3.4704999999999999</v>
      </c>
      <c r="AI60" s="13">
        <v>3.0436000000000001</v>
      </c>
      <c r="AJ60" s="13">
        <v>6.6529999999999996</v>
      </c>
      <c r="AK60" s="5"/>
      <c r="AL60" s="22">
        <v>2520.9</v>
      </c>
      <c r="AM60" s="13">
        <v>2694</v>
      </c>
      <c r="AN60" s="13">
        <v>5.5180999999999996</v>
      </c>
      <c r="AO60" s="13">
        <v>3.2572000000000001</v>
      </c>
      <c r="AP60" s="13">
        <v>8.4434000000000005</v>
      </c>
      <c r="AS60" s="5"/>
      <c r="AW60" s="5"/>
    </row>
    <row r="61" spans="1:49">
      <c r="A61" s="117"/>
      <c r="B61" s="89">
        <v>117</v>
      </c>
      <c r="C61" s="85">
        <v>322.74</v>
      </c>
      <c r="D61" s="85">
        <v>660.18</v>
      </c>
      <c r="E61" s="69">
        <v>7.7259E-5</v>
      </c>
      <c r="F61" s="85">
        <f t="shared" si="10"/>
        <v>6691</v>
      </c>
      <c r="G61" s="85">
        <v>0.51515999999999995</v>
      </c>
      <c r="H61" s="69">
        <v>1.5146999999999999E-3</v>
      </c>
      <c r="I61" s="69">
        <f t="shared" si="11"/>
        <v>1461600</v>
      </c>
      <c r="J61" s="69">
        <f t="shared" si="12"/>
        <v>1479300</v>
      </c>
      <c r="K61" s="47">
        <f t="shared" si="13"/>
        <v>3477.1</v>
      </c>
      <c r="L61" s="47">
        <f t="shared" si="14"/>
        <v>3044</v>
      </c>
      <c r="M61" s="47">
        <v>775.97</v>
      </c>
      <c r="N61" s="69">
        <v>4.1126000000000003E-2</v>
      </c>
      <c r="O61" s="69">
        <v>9.2644000000000008E-3</v>
      </c>
      <c r="P61" s="49"/>
      <c r="Q61" s="49"/>
      <c r="R61" s="47">
        <v>117</v>
      </c>
      <c r="S61" s="47">
        <v>322.74</v>
      </c>
      <c r="T61" s="85">
        <v>67.78</v>
      </c>
      <c r="U61" s="69">
        <v>2.0967000000000001E-5</v>
      </c>
      <c r="V61" s="85">
        <f t="shared" si="15"/>
        <v>8536.7999999999993</v>
      </c>
      <c r="W61" s="69">
        <v>8.8967000000000004E-2</v>
      </c>
      <c r="X61" s="69">
        <v>1.4754E-2</v>
      </c>
      <c r="Y61" s="69">
        <f t="shared" si="16"/>
        <v>2519300</v>
      </c>
      <c r="Z61" s="69">
        <f t="shared" si="17"/>
        <v>2691900</v>
      </c>
      <c r="AA61" s="47">
        <f t="shared" si="18"/>
        <v>5512</v>
      </c>
      <c r="AB61" s="47">
        <f t="shared" si="19"/>
        <v>3266.6</v>
      </c>
      <c r="AC61" s="47">
        <v>461.69</v>
      </c>
      <c r="AD61" s="48">
        <v>0.89954999999999996</v>
      </c>
      <c r="AF61" s="22">
        <v>1461.6</v>
      </c>
      <c r="AG61" s="13">
        <v>1479.3</v>
      </c>
      <c r="AH61" s="13">
        <v>3.4771000000000001</v>
      </c>
      <c r="AI61" s="13">
        <v>3.044</v>
      </c>
      <c r="AJ61" s="13">
        <v>6.6909999999999998</v>
      </c>
      <c r="AK61" s="5"/>
      <c r="AL61" s="22">
        <v>2519.3000000000002</v>
      </c>
      <c r="AM61" s="13">
        <v>2691.9</v>
      </c>
      <c r="AN61" s="13">
        <v>5.5119999999999996</v>
      </c>
      <c r="AO61" s="13">
        <v>3.2665999999999999</v>
      </c>
      <c r="AP61" s="13">
        <v>8.5367999999999995</v>
      </c>
      <c r="AS61" s="5"/>
      <c r="AW61" s="5"/>
    </row>
    <row r="62" spans="1:49">
      <c r="A62" s="117"/>
      <c r="B62" s="89">
        <v>118</v>
      </c>
      <c r="C62" s="85">
        <v>323.39</v>
      </c>
      <c r="D62" s="85">
        <v>658.52</v>
      </c>
      <c r="E62" s="69">
        <v>7.7009999999999996E-5</v>
      </c>
      <c r="F62" s="85">
        <f t="shared" si="10"/>
        <v>6729.7</v>
      </c>
      <c r="G62" s="85">
        <v>0.51398999999999995</v>
      </c>
      <c r="H62" s="69">
        <v>1.5185999999999999E-3</v>
      </c>
      <c r="I62" s="69">
        <f t="shared" si="11"/>
        <v>1465400</v>
      </c>
      <c r="J62" s="69">
        <f t="shared" si="12"/>
        <v>1483300</v>
      </c>
      <c r="K62" s="47">
        <f t="shared" si="13"/>
        <v>3483.6</v>
      </c>
      <c r="L62" s="47">
        <f t="shared" si="14"/>
        <v>3044.4</v>
      </c>
      <c r="M62" s="47">
        <v>771.86</v>
      </c>
      <c r="N62" s="69">
        <v>4.1882000000000003E-2</v>
      </c>
      <c r="O62" s="69">
        <v>9.1233000000000009E-3</v>
      </c>
      <c r="P62" s="49"/>
      <c r="Q62" s="49"/>
      <c r="R62" s="47">
        <v>118</v>
      </c>
      <c r="S62" s="47">
        <v>323.39</v>
      </c>
      <c r="T62" s="85">
        <v>68.55</v>
      </c>
      <c r="U62" s="69">
        <v>2.1013999999999999E-5</v>
      </c>
      <c r="V62" s="85">
        <f t="shared" si="15"/>
        <v>8631.7999999999993</v>
      </c>
      <c r="W62" s="69">
        <v>8.9667999999999998E-2</v>
      </c>
      <c r="X62" s="69">
        <v>1.4588E-2</v>
      </c>
      <c r="Y62" s="69">
        <f t="shared" si="16"/>
        <v>2517600</v>
      </c>
      <c r="Z62" s="69">
        <f t="shared" si="17"/>
        <v>2689800</v>
      </c>
      <c r="AA62" s="47">
        <f t="shared" si="18"/>
        <v>5506</v>
      </c>
      <c r="AB62" s="47">
        <f t="shared" si="19"/>
        <v>3275.9</v>
      </c>
      <c r="AC62" s="47">
        <v>461.03</v>
      </c>
      <c r="AD62" s="48">
        <v>0.89461000000000002</v>
      </c>
      <c r="AF62" s="22">
        <v>1465.4</v>
      </c>
      <c r="AG62" s="13">
        <v>1483.3</v>
      </c>
      <c r="AH62" s="13">
        <v>3.4836</v>
      </c>
      <c r="AI62" s="13">
        <v>3.0444</v>
      </c>
      <c r="AJ62" s="13">
        <v>6.7297000000000002</v>
      </c>
      <c r="AK62" s="5"/>
      <c r="AL62" s="22">
        <v>2517.6</v>
      </c>
      <c r="AM62" s="13">
        <v>2689.8</v>
      </c>
      <c r="AN62" s="13">
        <v>5.5060000000000002</v>
      </c>
      <c r="AO62" s="13">
        <v>3.2759</v>
      </c>
      <c r="AP62" s="13">
        <v>8.6318000000000001</v>
      </c>
      <c r="AS62" s="5"/>
      <c r="AW62" s="5"/>
    </row>
    <row r="63" spans="1:49">
      <c r="A63" s="117"/>
      <c r="B63" s="89">
        <v>119</v>
      </c>
      <c r="C63" s="85">
        <v>324.04000000000002</v>
      </c>
      <c r="D63" s="85">
        <v>656.85</v>
      </c>
      <c r="E63" s="69">
        <v>7.6761000000000006E-5</v>
      </c>
      <c r="F63" s="85">
        <f t="shared" si="10"/>
        <v>6769</v>
      </c>
      <c r="G63" s="85">
        <v>0.51283000000000001</v>
      </c>
      <c r="H63" s="69">
        <v>1.5223999999999999E-3</v>
      </c>
      <c r="I63" s="69">
        <f t="shared" si="11"/>
        <v>1469300</v>
      </c>
      <c r="J63" s="69">
        <f t="shared" si="12"/>
        <v>1487400</v>
      </c>
      <c r="K63" s="47">
        <f t="shared" si="13"/>
        <v>3490.2000000000003</v>
      </c>
      <c r="L63" s="47">
        <f t="shared" si="14"/>
        <v>3044.9</v>
      </c>
      <c r="M63" s="47">
        <v>767.75</v>
      </c>
      <c r="N63" s="69">
        <v>4.2646999999999997E-2</v>
      </c>
      <c r="O63" s="69">
        <v>8.9834000000000008E-3</v>
      </c>
      <c r="P63" s="49"/>
      <c r="Q63" s="49"/>
      <c r="R63" s="47">
        <v>119</v>
      </c>
      <c r="S63" s="47">
        <v>324.04000000000002</v>
      </c>
      <c r="T63" s="85">
        <v>69.325000000000003</v>
      </c>
      <c r="U63" s="69">
        <v>2.1061999999999999E-5</v>
      </c>
      <c r="V63" s="85">
        <f t="shared" si="15"/>
        <v>8728.5</v>
      </c>
      <c r="W63" s="69">
        <v>9.0378E-2</v>
      </c>
      <c r="X63" s="69">
        <v>1.4425E-2</v>
      </c>
      <c r="Y63" s="69">
        <f t="shared" si="16"/>
        <v>2516000</v>
      </c>
      <c r="Z63" s="69">
        <f t="shared" si="17"/>
        <v>2687600</v>
      </c>
      <c r="AA63" s="47">
        <f t="shared" si="18"/>
        <v>5500</v>
      </c>
      <c r="AB63" s="47">
        <f t="shared" si="19"/>
        <v>3285.2999999999997</v>
      </c>
      <c r="AC63" s="47">
        <v>460.36</v>
      </c>
      <c r="AD63" s="48">
        <v>0.88970000000000005</v>
      </c>
      <c r="AF63" s="22">
        <v>1469.3</v>
      </c>
      <c r="AG63" s="13">
        <v>1487.4</v>
      </c>
      <c r="AH63" s="13">
        <v>3.4902000000000002</v>
      </c>
      <c r="AI63" s="13">
        <v>3.0449000000000002</v>
      </c>
      <c r="AJ63" s="13">
        <v>6.7690000000000001</v>
      </c>
      <c r="AK63" s="5"/>
      <c r="AL63" s="22">
        <v>2516</v>
      </c>
      <c r="AM63" s="13">
        <v>2687.6</v>
      </c>
      <c r="AN63" s="13">
        <v>5.5</v>
      </c>
      <c r="AO63" s="13">
        <v>3.2852999999999999</v>
      </c>
      <c r="AP63" s="13">
        <v>8.7285000000000004</v>
      </c>
      <c r="AS63" s="5"/>
      <c r="AW63" s="5"/>
    </row>
    <row r="64" spans="1:49">
      <c r="A64" s="117"/>
      <c r="B64" s="89">
        <v>120</v>
      </c>
      <c r="C64" s="85">
        <v>324.68</v>
      </c>
      <c r="D64" s="85">
        <v>655.17999999999995</v>
      </c>
      <c r="E64" s="69">
        <v>7.6513000000000004E-5</v>
      </c>
      <c r="F64" s="85">
        <f t="shared" si="10"/>
        <v>6809.1</v>
      </c>
      <c r="G64" s="85">
        <v>0.51166999999999996</v>
      </c>
      <c r="H64" s="69">
        <v>1.5263E-3</v>
      </c>
      <c r="I64" s="69">
        <f t="shared" si="11"/>
        <v>1473100</v>
      </c>
      <c r="J64" s="69">
        <f t="shared" si="12"/>
        <v>1491500</v>
      </c>
      <c r="K64" s="47">
        <f t="shared" si="13"/>
        <v>3496.7000000000003</v>
      </c>
      <c r="L64" s="47">
        <f t="shared" si="14"/>
        <v>3045.4</v>
      </c>
      <c r="M64" s="47">
        <v>763.65</v>
      </c>
      <c r="N64" s="69">
        <v>4.3422000000000002E-2</v>
      </c>
      <c r="O64" s="69">
        <v>8.8447000000000005E-3</v>
      </c>
      <c r="P64" s="49"/>
      <c r="Q64" s="49"/>
      <c r="R64" s="47">
        <v>120</v>
      </c>
      <c r="S64" s="47">
        <v>324.68</v>
      </c>
      <c r="T64" s="85">
        <v>70.105999999999995</v>
      </c>
      <c r="U64" s="69">
        <v>2.1109000000000001E-5</v>
      </c>
      <c r="V64" s="85">
        <f t="shared" si="15"/>
        <v>8827</v>
      </c>
      <c r="W64" s="69">
        <v>9.1097999999999998E-2</v>
      </c>
      <c r="X64" s="69">
        <v>1.4264000000000001E-2</v>
      </c>
      <c r="Y64" s="69">
        <f t="shared" si="16"/>
        <v>2514300</v>
      </c>
      <c r="Z64" s="69">
        <f t="shared" si="17"/>
        <v>2685400</v>
      </c>
      <c r="AA64" s="47">
        <f t="shared" si="18"/>
        <v>5493.9</v>
      </c>
      <c r="AB64" s="47">
        <f t="shared" si="19"/>
        <v>3294.7000000000003</v>
      </c>
      <c r="AC64" s="47">
        <v>459.68</v>
      </c>
      <c r="AD64" s="48">
        <v>0.88483999999999996</v>
      </c>
      <c r="AF64" s="22">
        <v>1473.1</v>
      </c>
      <c r="AG64" s="13">
        <v>1491.5</v>
      </c>
      <c r="AH64" s="13">
        <v>3.4967000000000001</v>
      </c>
      <c r="AI64" s="13">
        <v>3.0453999999999999</v>
      </c>
      <c r="AJ64" s="13">
        <v>6.8090999999999999</v>
      </c>
      <c r="AK64" s="5"/>
      <c r="AL64" s="22">
        <v>2514.3000000000002</v>
      </c>
      <c r="AM64" s="13">
        <v>2685.4</v>
      </c>
      <c r="AN64" s="13">
        <v>5.4939</v>
      </c>
      <c r="AO64" s="13">
        <v>3.2947000000000002</v>
      </c>
      <c r="AP64" s="13">
        <v>8.827</v>
      </c>
      <c r="AS64" s="5"/>
      <c r="AW64" s="5"/>
    </row>
    <row r="65" spans="1:49">
      <c r="A65" s="117"/>
      <c r="B65" s="89">
        <v>121</v>
      </c>
      <c r="C65" s="85">
        <v>325.31</v>
      </c>
      <c r="D65" s="85">
        <v>653.51</v>
      </c>
      <c r="E65" s="69">
        <v>7.6266999999999993E-5</v>
      </c>
      <c r="F65" s="85">
        <f t="shared" si="10"/>
        <v>6849.9</v>
      </c>
      <c r="G65" s="85">
        <v>0.51051000000000002</v>
      </c>
      <c r="H65" s="69">
        <v>1.5302E-3</v>
      </c>
      <c r="I65" s="69">
        <f t="shared" si="11"/>
        <v>1477000</v>
      </c>
      <c r="J65" s="69">
        <f t="shared" si="12"/>
        <v>1495500</v>
      </c>
      <c r="K65" s="47">
        <f t="shared" si="13"/>
        <v>3503.2000000000003</v>
      </c>
      <c r="L65" s="47">
        <f t="shared" si="14"/>
        <v>3045.9</v>
      </c>
      <c r="M65" s="47">
        <v>759.56</v>
      </c>
      <c r="N65" s="69">
        <v>4.4207000000000003E-2</v>
      </c>
      <c r="O65" s="69">
        <v>8.7072E-3</v>
      </c>
      <c r="P65" s="232"/>
      <c r="Q65" s="232"/>
      <c r="R65" s="47">
        <v>121</v>
      </c>
      <c r="S65" s="47">
        <v>325.31</v>
      </c>
      <c r="T65" s="85">
        <v>70.891999999999996</v>
      </c>
      <c r="U65" s="69">
        <v>2.1157000000000001E-5</v>
      </c>
      <c r="V65" s="85">
        <f t="shared" si="15"/>
        <v>8927.3000000000011</v>
      </c>
      <c r="W65" s="69">
        <v>9.1828999999999994E-2</v>
      </c>
      <c r="X65" s="69">
        <v>1.4106E-2</v>
      </c>
      <c r="Y65" s="69">
        <f t="shared" si="16"/>
        <v>2512600</v>
      </c>
      <c r="Z65" s="69">
        <f t="shared" si="17"/>
        <v>2683300</v>
      </c>
      <c r="AA65" s="47">
        <f t="shared" si="18"/>
        <v>5487.9</v>
      </c>
      <c r="AB65" s="47">
        <f t="shared" si="19"/>
        <v>3304.1</v>
      </c>
      <c r="AC65" s="47">
        <v>459</v>
      </c>
      <c r="AD65" s="48">
        <v>0.88002000000000002</v>
      </c>
      <c r="AF65" s="25">
        <v>1477</v>
      </c>
      <c r="AG65" s="21">
        <v>1495.5</v>
      </c>
      <c r="AH65" s="21">
        <v>3.5032000000000001</v>
      </c>
      <c r="AI65" s="21">
        <v>3.0459000000000001</v>
      </c>
      <c r="AJ65" s="21">
        <v>6.8498999999999999</v>
      </c>
      <c r="AK65" s="5"/>
      <c r="AL65" s="25">
        <v>2512.6</v>
      </c>
      <c r="AM65" s="21">
        <v>2683.3</v>
      </c>
      <c r="AN65" s="21">
        <v>5.4878999999999998</v>
      </c>
      <c r="AO65" s="21">
        <v>3.3041</v>
      </c>
      <c r="AP65" s="21">
        <v>8.9273000000000007</v>
      </c>
      <c r="AS65" s="5"/>
      <c r="AW65" s="5"/>
    </row>
    <row r="66" spans="1:49">
      <c r="A66" s="117"/>
      <c r="B66" s="89">
        <v>122</v>
      </c>
      <c r="C66" s="85">
        <v>325.94</v>
      </c>
      <c r="D66" s="85">
        <v>651.84</v>
      </c>
      <c r="E66" s="69">
        <v>7.6020999999999996E-5</v>
      </c>
      <c r="F66" s="85">
        <f t="shared" si="10"/>
        <v>6891.6</v>
      </c>
      <c r="G66" s="85">
        <v>0.50934999999999997</v>
      </c>
      <c r="H66" s="69">
        <v>1.5341E-3</v>
      </c>
      <c r="I66" s="69">
        <f t="shared" si="11"/>
        <v>1480800</v>
      </c>
      <c r="J66" s="69">
        <f t="shared" si="12"/>
        <v>1499500</v>
      </c>
      <c r="K66" s="47">
        <f t="shared" si="13"/>
        <v>3509.7</v>
      </c>
      <c r="L66" s="47">
        <f t="shared" si="14"/>
        <v>3046.5</v>
      </c>
      <c r="M66" s="47">
        <v>755.47</v>
      </c>
      <c r="N66" s="69">
        <v>4.5002E-2</v>
      </c>
      <c r="O66" s="69">
        <v>8.5708999999999994E-3</v>
      </c>
      <c r="P66" s="232"/>
      <c r="Q66" s="232"/>
      <c r="R66" s="47">
        <v>122</v>
      </c>
      <c r="S66" s="47">
        <v>325.94</v>
      </c>
      <c r="T66" s="85">
        <v>71.683999999999997</v>
      </c>
      <c r="U66" s="69">
        <v>2.1206E-5</v>
      </c>
      <c r="V66" s="85">
        <f t="shared" si="15"/>
        <v>9029.5</v>
      </c>
      <c r="W66" s="69">
        <v>9.257E-2</v>
      </c>
      <c r="X66" s="69">
        <v>1.3950000000000001E-2</v>
      </c>
      <c r="Y66" s="69">
        <f t="shared" si="16"/>
        <v>2510900</v>
      </c>
      <c r="Z66" s="69">
        <f t="shared" si="17"/>
        <v>2681000</v>
      </c>
      <c r="AA66" s="47">
        <f t="shared" si="18"/>
        <v>5481.9000000000005</v>
      </c>
      <c r="AB66" s="47">
        <f t="shared" si="19"/>
        <v>3313.5</v>
      </c>
      <c r="AC66" s="47">
        <v>458.32</v>
      </c>
      <c r="AD66" s="48">
        <v>0.87522999999999995</v>
      </c>
      <c r="AF66" s="25">
        <v>1480.8</v>
      </c>
      <c r="AG66" s="21">
        <v>1499.5</v>
      </c>
      <c r="AH66" s="21">
        <v>3.5097</v>
      </c>
      <c r="AI66" s="21">
        <v>3.0465</v>
      </c>
      <c r="AJ66" s="21">
        <v>6.8916000000000004</v>
      </c>
      <c r="AK66" s="5"/>
      <c r="AL66" s="25">
        <v>2510.9</v>
      </c>
      <c r="AM66" s="21">
        <v>2681</v>
      </c>
      <c r="AN66" s="21">
        <v>5.4819000000000004</v>
      </c>
      <c r="AO66" s="21">
        <v>3.3134999999999999</v>
      </c>
      <c r="AP66" s="21">
        <v>9.0295000000000005</v>
      </c>
      <c r="AS66" s="5"/>
      <c r="AW66" s="5"/>
    </row>
    <row r="67" spans="1:49">
      <c r="A67" s="117"/>
      <c r="B67" s="89">
        <v>123</v>
      </c>
      <c r="C67" s="85">
        <v>326.57</v>
      </c>
      <c r="D67" s="85">
        <v>650.16</v>
      </c>
      <c r="E67" s="69">
        <v>7.5777000000000003E-5</v>
      </c>
      <c r="F67" s="85">
        <f t="shared" si="10"/>
        <v>6933.9000000000005</v>
      </c>
      <c r="G67" s="85">
        <v>0.50819000000000003</v>
      </c>
      <c r="H67" s="69">
        <v>1.5380999999999999E-3</v>
      </c>
      <c r="I67" s="69">
        <f t="shared" si="11"/>
        <v>1484600</v>
      </c>
      <c r="J67" s="69">
        <f t="shared" si="12"/>
        <v>1503600</v>
      </c>
      <c r="K67" s="47">
        <f t="shared" si="13"/>
        <v>3516.1</v>
      </c>
      <c r="L67" s="47">
        <f t="shared" si="14"/>
        <v>3047.2000000000003</v>
      </c>
      <c r="M67" s="47">
        <v>751.39</v>
      </c>
      <c r="N67" s="69">
        <v>4.5807E-2</v>
      </c>
      <c r="O67" s="69">
        <v>8.4358000000000002E-3</v>
      </c>
      <c r="P67" s="232"/>
      <c r="Q67" s="232"/>
      <c r="R67" s="47">
        <v>123</v>
      </c>
      <c r="S67" s="47">
        <v>326.57</v>
      </c>
      <c r="T67" s="85">
        <v>72.483000000000004</v>
      </c>
      <c r="U67" s="69">
        <v>2.1254E-5</v>
      </c>
      <c r="V67" s="85">
        <f t="shared" si="15"/>
        <v>9133.6</v>
      </c>
      <c r="W67" s="69">
        <v>9.3323000000000003E-2</v>
      </c>
      <c r="X67" s="69">
        <v>1.3795999999999999E-2</v>
      </c>
      <c r="Y67" s="69">
        <f t="shared" si="16"/>
        <v>2509100</v>
      </c>
      <c r="Z67" s="69">
        <f t="shared" si="17"/>
        <v>2678800</v>
      </c>
      <c r="AA67" s="47">
        <f t="shared" si="18"/>
        <v>5475.7999999999993</v>
      </c>
      <c r="AB67" s="47">
        <f t="shared" si="19"/>
        <v>3322.9</v>
      </c>
      <c r="AC67" s="47">
        <v>457.63</v>
      </c>
      <c r="AD67" s="48">
        <v>0.87048999999999999</v>
      </c>
      <c r="AF67" s="25">
        <v>1484.6</v>
      </c>
      <c r="AG67" s="21">
        <v>1503.6</v>
      </c>
      <c r="AH67" s="21">
        <v>3.5160999999999998</v>
      </c>
      <c r="AI67" s="21">
        <v>3.0472000000000001</v>
      </c>
      <c r="AJ67" s="21">
        <v>6.9339000000000004</v>
      </c>
      <c r="AK67" s="5"/>
      <c r="AL67" s="25">
        <v>2509.1</v>
      </c>
      <c r="AM67" s="21">
        <v>2678.8</v>
      </c>
      <c r="AN67" s="21">
        <v>5.4757999999999996</v>
      </c>
      <c r="AO67" s="21">
        <v>3.3229000000000002</v>
      </c>
      <c r="AP67" s="21">
        <v>9.1335999999999995</v>
      </c>
      <c r="AS67" s="5"/>
      <c r="AW67" s="5"/>
    </row>
    <row r="68" spans="1:49">
      <c r="A68" s="117"/>
      <c r="B68" s="89">
        <v>124</v>
      </c>
      <c r="C68" s="85">
        <v>327.19</v>
      </c>
      <c r="D68" s="85">
        <v>648.49</v>
      </c>
      <c r="E68" s="69">
        <v>7.5532999999999997E-5</v>
      </c>
      <c r="F68" s="85">
        <f t="shared" ref="F68:F94" si="20">AJ68*1000</f>
        <v>6977.2</v>
      </c>
      <c r="G68" s="85">
        <v>0.50704000000000005</v>
      </c>
      <c r="H68" s="69">
        <v>1.5421E-3</v>
      </c>
      <c r="I68" s="69">
        <f t="shared" ref="I68:I94" si="21">AF68*1000</f>
        <v>1488500</v>
      </c>
      <c r="J68" s="69">
        <f t="shared" ref="J68:J94" si="22">AG68*1000</f>
        <v>1507600</v>
      </c>
      <c r="K68" s="47">
        <f t="shared" ref="K68:K94" si="23">AH68*1000</f>
        <v>3522.6000000000004</v>
      </c>
      <c r="L68" s="47">
        <f t="shared" ref="L68:L94" si="24">AI68*1000</f>
        <v>3047.8999999999996</v>
      </c>
      <c r="M68" s="47">
        <v>747.32</v>
      </c>
      <c r="N68" s="69">
        <v>4.6622999999999998E-2</v>
      </c>
      <c r="O68" s="69">
        <v>8.3017999999999998E-3</v>
      </c>
      <c r="P68" s="232"/>
      <c r="Q68" s="232"/>
      <c r="R68" s="47">
        <v>124</v>
      </c>
      <c r="S68" s="47">
        <v>327.19</v>
      </c>
      <c r="T68" s="85">
        <v>73.287000000000006</v>
      </c>
      <c r="U68" s="69">
        <v>2.1302999999999999E-5</v>
      </c>
      <c r="V68" s="85">
        <f t="shared" ref="V68:V94" si="25">AP68*1000</f>
        <v>9239.5999999999985</v>
      </c>
      <c r="W68" s="69">
        <v>9.4087000000000004E-2</v>
      </c>
      <c r="X68" s="69">
        <v>1.3644999999999999E-2</v>
      </c>
      <c r="Y68" s="69">
        <f t="shared" ref="Y68:Y94" si="26">AL68*1000</f>
        <v>2507400</v>
      </c>
      <c r="Z68" s="69">
        <f t="shared" ref="Z68:Z94" si="27">AM68*1000</f>
        <v>2676600</v>
      </c>
      <c r="AA68" s="47">
        <f t="shared" ref="AA68:AA94" si="28">AN68*1000</f>
        <v>5469.8</v>
      </c>
      <c r="AB68" s="47">
        <f t="shared" ref="AB68:AB94" si="29">AO68*1000</f>
        <v>3332.3</v>
      </c>
      <c r="AC68" s="47">
        <v>456.95</v>
      </c>
      <c r="AD68" s="48">
        <v>0.86577999999999999</v>
      </c>
      <c r="AF68" s="25">
        <v>1488.5</v>
      </c>
      <c r="AG68" s="21">
        <v>1507.6</v>
      </c>
      <c r="AH68" s="21">
        <v>3.5226000000000002</v>
      </c>
      <c r="AI68" s="21">
        <v>3.0478999999999998</v>
      </c>
      <c r="AJ68" s="21">
        <v>6.9771999999999998</v>
      </c>
      <c r="AK68" s="5"/>
      <c r="AL68" s="25">
        <v>2507.4</v>
      </c>
      <c r="AM68" s="21">
        <v>2676.6</v>
      </c>
      <c r="AN68" s="21">
        <v>5.4698000000000002</v>
      </c>
      <c r="AO68" s="21">
        <v>3.3323</v>
      </c>
      <c r="AP68" s="21">
        <v>9.2395999999999994</v>
      </c>
      <c r="AS68" s="5"/>
      <c r="AW68" s="5"/>
    </row>
    <row r="69" spans="1:49">
      <c r="A69" s="117"/>
      <c r="B69" s="89">
        <v>125</v>
      </c>
      <c r="C69" s="85">
        <v>327.81</v>
      </c>
      <c r="D69" s="85">
        <v>646.80999999999995</v>
      </c>
      <c r="E69" s="69">
        <v>7.5290000000000006E-5</v>
      </c>
      <c r="F69" s="85">
        <f t="shared" si="20"/>
        <v>7021.2000000000007</v>
      </c>
      <c r="G69" s="85">
        <v>0.50588</v>
      </c>
      <c r="H69" s="69">
        <v>1.5460999999999999E-3</v>
      </c>
      <c r="I69" s="69">
        <f t="shared" si="21"/>
        <v>1492300</v>
      </c>
      <c r="J69" s="69">
        <f t="shared" si="22"/>
        <v>1511600</v>
      </c>
      <c r="K69" s="47">
        <f t="shared" si="23"/>
        <v>3529</v>
      </c>
      <c r="L69" s="47">
        <f t="shared" si="24"/>
        <v>3048.6</v>
      </c>
      <c r="M69" s="47">
        <v>743.25</v>
      </c>
      <c r="N69" s="69">
        <v>4.7448999999999998E-2</v>
      </c>
      <c r="O69" s="69">
        <v>8.1689999999999992E-3</v>
      </c>
      <c r="P69" s="232"/>
      <c r="Q69" s="232"/>
      <c r="R69" s="47">
        <v>125</v>
      </c>
      <c r="S69" s="47">
        <v>327.81</v>
      </c>
      <c r="T69" s="85">
        <v>74.096999999999994</v>
      </c>
      <c r="U69" s="69">
        <v>2.1353E-5</v>
      </c>
      <c r="V69" s="85">
        <f t="shared" si="25"/>
        <v>9347.7999999999993</v>
      </c>
      <c r="W69" s="69">
        <v>9.4862000000000002E-2</v>
      </c>
      <c r="X69" s="69">
        <v>1.3495999999999999E-2</v>
      </c>
      <c r="Y69" s="69">
        <f t="shared" si="26"/>
        <v>2505600</v>
      </c>
      <c r="Z69" s="69">
        <f t="shared" si="27"/>
        <v>2674300</v>
      </c>
      <c r="AA69" s="47">
        <f t="shared" si="28"/>
        <v>5463.8</v>
      </c>
      <c r="AB69" s="47">
        <f t="shared" si="29"/>
        <v>3341.7</v>
      </c>
      <c r="AC69" s="47">
        <v>456.25</v>
      </c>
      <c r="AD69" s="48">
        <v>0.86109999999999998</v>
      </c>
      <c r="AF69" s="25">
        <v>1492.3</v>
      </c>
      <c r="AG69" s="21">
        <v>1511.6</v>
      </c>
      <c r="AH69" s="21">
        <v>3.5289999999999999</v>
      </c>
      <c r="AI69" s="21">
        <v>3.0486</v>
      </c>
      <c r="AJ69" s="21">
        <v>7.0212000000000003</v>
      </c>
      <c r="AK69" s="5"/>
      <c r="AL69" s="25">
        <v>2505.6</v>
      </c>
      <c r="AM69" s="21">
        <v>2674.3</v>
      </c>
      <c r="AN69" s="21">
        <v>5.4638</v>
      </c>
      <c r="AO69" s="21">
        <v>3.3416999999999999</v>
      </c>
      <c r="AP69" s="21">
        <v>9.3477999999999994</v>
      </c>
      <c r="AS69" s="5"/>
      <c r="AW69" s="5"/>
    </row>
    <row r="70" spans="1:49">
      <c r="A70" s="117"/>
      <c r="B70" s="89">
        <v>126</v>
      </c>
      <c r="C70" s="85">
        <v>328.43</v>
      </c>
      <c r="D70" s="85">
        <v>645.13</v>
      </c>
      <c r="E70" s="69">
        <v>7.5049000000000006E-5</v>
      </c>
      <c r="F70" s="85">
        <f t="shared" si="20"/>
        <v>7066.0999999999995</v>
      </c>
      <c r="G70" s="85">
        <v>0.50473000000000001</v>
      </c>
      <c r="H70" s="69">
        <v>1.5501E-3</v>
      </c>
      <c r="I70" s="69">
        <f t="shared" si="21"/>
        <v>1496000</v>
      </c>
      <c r="J70" s="69">
        <f t="shared" si="22"/>
        <v>1515600</v>
      </c>
      <c r="K70" s="47">
        <f t="shared" si="23"/>
        <v>3535.4</v>
      </c>
      <c r="L70" s="47">
        <f t="shared" si="24"/>
        <v>3049.5</v>
      </c>
      <c r="M70" s="47">
        <v>739.18</v>
      </c>
      <c r="N70" s="69">
        <v>4.8286000000000003E-2</v>
      </c>
      <c r="O70" s="69">
        <v>8.0373000000000007E-3</v>
      </c>
      <c r="P70" s="232"/>
      <c r="Q70" s="232"/>
      <c r="R70" s="47">
        <v>126</v>
      </c>
      <c r="S70" s="47">
        <v>328.43</v>
      </c>
      <c r="T70" s="85">
        <v>74.914000000000001</v>
      </c>
      <c r="U70" s="69">
        <v>2.1401999999999999E-5</v>
      </c>
      <c r="V70" s="85">
        <f t="shared" si="25"/>
        <v>9458</v>
      </c>
      <c r="W70" s="69">
        <v>9.5649999999999999E-2</v>
      </c>
      <c r="X70" s="69">
        <v>1.3349E-2</v>
      </c>
      <c r="Y70" s="69">
        <f t="shared" si="26"/>
        <v>2503800</v>
      </c>
      <c r="Z70" s="69">
        <f t="shared" si="27"/>
        <v>2672000</v>
      </c>
      <c r="AA70" s="47">
        <f t="shared" si="28"/>
        <v>5457.7</v>
      </c>
      <c r="AB70" s="47">
        <f t="shared" si="29"/>
        <v>3351.2</v>
      </c>
      <c r="AC70" s="47">
        <v>455.55</v>
      </c>
      <c r="AD70" s="48">
        <v>0.85646</v>
      </c>
      <c r="AF70" s="25">
        <v>1496</v>
      </c>
      <c r="AG70" s="21">
        <v>1515.6</v>
      </c>
      <c r="AH70" s="21">
        <v>3.5354000000000001</v>
      </c>
      <c r="AI70" s="21">
        <v>3.0495000000000001</v>
      </c>
      <c r="AJ70" s="21">
        <v>7.0660999999999996</v>
      </c>
      <c r="AK70" s="5"/>
      <c r="AL70" s="25">
        <v>2503.8000000000002</v>
      </c>
      <c r="AM70" s="21">
        <v>2672</v>
      </c>
      <c r="AN70" s="21">
        <v>5.4577</v>
      </c>
      <c r="AO70" s="21">
        <v>3.3512</v>
      </c>
      <c r="AP70" s="21">
        <v>9.4580000000000002</v>
      </c>
      <c r="AS70" s="5"/>
      <c r="AW70" s="5"/>
    </row>
    <row r="71" spans="1:49">
      <c r="A71" s="117"/>
      <c r="B71" s="89">
        <v>127</v>
      </c>
      <c r="C71" s="85">
        <v>329.04</v>
      </c>
      <c r="D71" s="85">
        <v>643.44000000000005</v>
      </c>
      <c r="E71" s="69">
        <v>7.4807000000000004E-5</v>
      </c>
      <c r="F71" s="85">
        <f t="shared" si="20"/>
        <v>7112</v>
      </c>
      <c r="G71" s="85">
        <v>0.50358000000000003</v>
      </c>
      <c r="H71" s="69">
        <v>1.5541000000000001E-3</v>
      </c>
      <c r="I71" s="69">
        <f t="shared" si="21"/>
        <v>1499800</v>
      </c>
      <c r="J71" s="69">
        <f t="shared" si="22"/>
        <v>1519600</v>
      </c>
      <c r="K71" s="47">
        <f t="shared" si="23"/>
        <v>3541.7999999999997</v>
      </c>
      <c r="L71" s="47">
        <f t="shared" si="24"/>
        <v>3050.3</v>
      </c>
      <c r="M71" s="47">
        <v>735.12</v>
      </c>
      <c r="N71" s="69">
        <v>4.9134999999999998E-2</v>
      </c>
      <c r="O71" s="69">
        <v>7.9066999999999991E-3</v>
      </c>
      <c r="P71" s="232"/>
      <c r="Q71" s="232"/>
      <c r="R71" s="47">
        <v>127</v>
      </c>
      <c r="S71" s="47">
        <v>329.04</v>
      </c>
      <c r="T71" s="85">
        <v>75.736999999999995</v>
      </c>
      <c r="U71" s="69">
        <v>2.1452000000000001E-5</v>
      </c>
      <c r="V71" s="85">
        <f t="shared" si="25"/>
        <v>9570.4</v>
      </c>
      <c r="W71" s="69">
        <v>9.6449999999999994E-2</v>
      </c>
      <c r="X71" s="69">
        <v>1.3204E-2</v>
      </c>
      <c r="Y71" s="69">
        <f t="shared" si="26"/>
        <v>2502000</v>
      </c>
      <c r="Z71" s="69">
        <f t="shared" si="27"/>
        <v>2669700</v>
      </c>
      <c r="AA71" s="47">
        <f t="shared" si="28"/>
        <v>5451.7</v>
      </c>
      <c r="AB71" s="47">
        <f t="shared" si="29"/>
        <v>3360.6</v>
      </c>
      <c r="AC71" s="47">
        <v>454.85</v>
      </c>
      <c r="AD71" s="48">
        <v>0.85185999999999995</v>
      </c>
      <c r="AF71" s="25">
        <v>1499.8</v>
      </c>
      <c r="AG71" s="21">
        <v>1519.6</v>
      </c>
      <c r="AH71" s="21">
        <v>3.5417999999999998</v>
      </c>
      <c r="AI71" s="21">
        <v>3.0503</v>
      </c>
      <c r="AJ71" s="21">
        <v>7.1120000000000001</v>
      </c>
      <c r="AK71" s="5"/>
      <c r="AL71" s="25">
        <v>2502</v>
      </c>
      <c r="AM71" s="21">
        <v>2669.7</v>
      </c>
      <c r="AN71" s="21">
        <v>5.4516999999999998</v>
      </c>
      <c r="AO71" s="21">
        <v>3.3605999999999998</v>
      </c>
      <c r="AP71" s="21">
        <v>9.5703999999999994</v>
      </c>
      <c r="AS71" s="5"/>
      <c r="AW71" s="5"/>
    </row>
    <row r="72" spans="1:49">
      <c r="A72" s="117"/>
      <c r="B72" s="89">
        <v>128</v>
      </c>
      <c r="C72" s="85">
        <v>329.65</v>
      </c>
      <c r="D72" s="85">
        <v>641.75</v>
      </c>
      <c r="E72" s="69">
        <v>7.4567000000000006E-5</v>
      </c>
      <c r="F72" s="85">
        <f t="shared" si="20"/>
        <v>7158.8</v>
      </c>
      <c r="G72" s="85">
        <v>0.50243000000000004</v>
      </c>
      <c r="H72" s="69">
        <v>1.5582E-3</v>
      </c>
      <c r="I72" s="69">
        <f t="shared" si="21"/>
        <v>1503600</v>
      </c>
      <c r="J72" s="69">
        <f t="shared" si="22"/>
        <v>1523600</v>
      </c>
      <c r="K72" s="47">
        <f t="shared" si="23"/>
        <v>3548.1</v>
      </c>
      <c r="L72" s="47">
        <f t="shared" si="24"/>
        <v>3051.2000000000003</v>
      </c>
      <c r="M72" s="47">
        <v>731.07</v>
      </c>
      <c r="N72" s="69">
        <v>4.9994999999999998E-2</v>
      </c>
      <c r="O72" s="69">
        <v>7.7773E-3</v>
      </c>
      <c r="P72" s="232"/>
      <c r="Q72" s="232"/>
      <c r="R72" s="47">
        <v>128</v>
      </c>
      <c r="S72" s="47">
        <v>329.65</v>
      </c>
      <c r="T72" s="85">
        <v>76.566000000000003</v>
      </c>
      <c r="U72" s="69">
        <v>2.1501999999999998E-5</v>
      </c>
      <c r="V72" s="85">
        <f t="shared" si="25"/>
        <v>9685</v>
      </c>
      <c r="W72" s="69">
        <v>9.7262000000000001E-2</v>
      </c>
      <c r="X72" s="69">
        <v>1.3061E-2</v>
      </c>
      <c r="Y72" s="69">
        <f t="shared" si="26"/>
        <v>2500200</v>
      </c>
      <c r="Z72" s="69">
        <f t="shared" si="27"/>
        <v>2667400</v>
      </c>
      <c r="AA72" s="47">
        <f t="shared" si="28"/>
        <v>5445.7000000000007</v>
      </c>
      <c r="AB72" s="47">
        <f t="shared" si="29"/>
        <v>3370</v>
      </c>
      <c r="AC72" s="47">
        <v>454.15</v>
      </c>
      <c r="AD72" s="48">
        <v>0.84728999999999999</v>
      </c>
      <c r="AF72" s="25">
        <v>1503.6</v>
      </c>
      <c r="AG72" s="21">
        <v>1523.6</v>
      </c>
      <c r="AH72" s="21">
        <v>3.5480999999999998</v>
      </c>
      <c r="AI72" s="21">
        <v>3.0512000000000001</v>
      </c>
      <c r="AJ72" s="21">
        <v>7.1588000000000003</v>
      </c>
      <c r="AK72" s="5"/>
      <c r="AL72" s="25">
        <v>2500.1999999999998</v>
      </c>
      <c r="AM72" s="21">
        <v>2667.4</v>
      </c>
      <c r="AN72" s="21">
        <v>5.4457000000000004</v>
      </c>
      <c r="AO72" s="21">
        <v>3.37</v>
      </c>
      <c r="AP72" s="21">
        <v>9.6850000000000005</v>
      </c>
      <c r="AS72" s="5"/>
      <c r="AW72" s="5"/>
    </row>
    <row r="73" spans="1:49">
      <c r="A73" s="117"/>
      <c r="B73" s="89">
        <v>129</v>
      </c>
      <c r="C73" s="85">
        <v>330.25</v>
      </c>
      <c r="D73" s="85">
        <v>640.05999999999995</v>
      </c>
      <c r="E73" s="69">
        <v>7.4327999999999997E-5</v>
      </c>
      <c r="F73" s="85">
        <f t="shared" si="20"/>
        <v>7206.5</v>
      </c>
      <c r="G73" s="85">
        <v>0.50127999999999995</v>
      </c>
      <c r="H73" s="69">
        <v>1.5623E-3</v>
      </c>
      <c r="I73" s="69">
        <f t="shared" si="21"/>
        <v>1507400</v>
      </c>
      <c r="J73" s="69">
        <f t="shared" si="22"/>
        <v>1527500</v>
      </c>
      <c r="K73" s="47">
        <f t="shared" si="23"/>
        <v>3554.5</v>
      </c>
      <c r="L73" s="47">
        <f t="shared" si="24"/>
        <v>3052.2</v>
      </c>
      <c r="M73" s="47">
        <v>727.02</v>
      </c>
      <c r="N73" s="69">
        <v>5.0867000000000002E-2</v>
      </c>
      <c r="O73" s="69">
        <v>7.6489000000000001E-3</v>
      </c>
      <c r="P73" s="232"/>
      <c r="Q73" s="232"/>
      <c r="R73" s="47">
        <v>129</v>
      </c>
      <c r="S73" s="47">
        <v>330.25</v>
      </c>
      <c r="T73" s="85">
        <v>77.402000000000001</v>
      </c>
      <c r="U73" s="69">
        <v>2.1552999999999998E-5</v>
      </c>
      <c r="V73" s="85">
        <f t="shared" si="25"/>
        <v>9802</v>
      </c>
      <c r="W73" s="69">
        <v>9.8086999999999994E-2</v>
      </c>
      <c r="X73" s="69">
        <v>1.2919999999999999E-2</v>
      </c>
      <c r="Y73" s="69">
        <f t="shared" si="26"/>
        <v>2498400</v>
      </c>
      <c r="Z73" s="69">
        <f t="shared" si="27"/>
        <v>2665000</v>
      </c>
      <c r="AA73" s="47">
        <f t="shared" si="28"/>
        <v>5439.6</v>
      </c>
      <c r="AB73" s="47">
        <f t="shared" si="29"/>
        <v>3379.5</v>
      </c>
      <c r="AC73" s="47">
        <v>453.44</v>
      </c>
      <c r="AD73" s="48">
        <v>0.84274000000000004</v>
      </c>
      <c r="AF73" s="25">
        <v>1507.4</v>
      </c>
      <c r="AG73" s="21">
        <v>1527.5</v>
      </c>
      <c r="AH73" s="21">
        <v>3.5545</v>
      </c>
      <c r="AI73" s="21">
        <v>3.0522</v>
      </c>
      <c r="AJ73" s="21">
        <v>7.2065000000000001</v>
      </c>
      <c r="AK73" s="5"/>
      <c r="AL73" s="25">
        <v>2498.4</v>
      </c>
      <c r="AM73" s="21">
        <v>2665</v>
      </c>
      <c r="AN73" s="21">
        <v>5.4396000000000004</v>
      </c>
      <c r="AO73" s="21">
        <v>3.3795000000000002</v>
      </c>
      <c r="AP73" s="21">
        <v>9.8019999999999996</v>
      </c>
      <c r="AS73" s="5"/>
      <c r="AW73" s="5"/>
    </row>
    <row r="74" spans="1:49">
      <c r="A74" s="117"/>
      <c r="B74" s="89">
        <v>130</v>
      </c>
      <c r="C74" s="85">
        <v>330.85</v>
      </c>
      <c r="D74" s="85">
        <v>638.37</v>
      </c>
      <c r="E74" s="69">
        <v>7.4089000000000002E-5</v>
      </c>
      <c r="F74" s="85">
        <f t="shared" si="20"/>
        <v>7255.2000000000007</v>
      </c>
      <c r="G74" s="85">
        <v>0.50012999999999996</v>
      </c>
      <c r="H74" s="69">
        <v>1.5665E-3</v>
      </c>
      <c r="I74" s="69">
        <f t="shared" si="21"/>
        <v>1511100</v>
      </c>
      <c r="J74" s="69">
        <f t="shared" si="22"/>
        <v>1531500</v>
      </c>
      <c r="K74" s="47">
        <f t="shared" si="23"/>
        <v>3560.8</v>
      </c>
      <c r="L74" s="47">
        <f t="shared" si="24"/>
        <v>3053.2</v>
      </c>
      <c r="M74" s="47">
        <v>722.97</v>
      </c>
      <c r="N74" s="69">
        <v>5.1750999999999998E-2</v>
      </c>
      <c r="O74" s="69">
        <v>7.5215999999999998E-3</v>
      </c>
      <c r="P74" s="232"/>
      <c r="Q74" s="232"/>
      <c r="R74" s="47">
        <v>130</v>
      </c>
      <c r="S74" s="47">
        <v>330.85</v>
      </c>
      <c r="T74" s="85">
        <v>78.245000000000005</v>
      </c>
      <c r="U74" s="69">
        <v>2.1603999999999998E-5</v>
      </c>
      <c r="V74" s="85">
        <f t="shared" si="25"/>
        <v>9921.3000000000011</v>
      </c>
      <c r="W74" s="69">
        <v>9.8926E-2</v>
      </c>
      <c r="X74" s="69">
        <v>1.278E-2</v>
      </c>
      <c r="Y74" s="69">
        <f t="shared" si="26"/>
        <v>2496500</v>
      </c>
      <c r="Z74" s="69">
        <f t="shared" si="27"/>
        <v>2662700</v>
      </c>
      <c r="AA74" s="47">
        <f t="shared" si="28"/>
        <v>5433.6</v>
      </c>
      <c r="AB74" s="47">
        <f t="shared" si="29"/>
        <v>3388.9</v>
      </c>
      <c r="AC74" s="47">
        <v>452.73</v>
      </c>
      <c r="AD74" s="48">
        <v>0.83823000000000003</v>
      </c>
      <c r="AF74" s="25">
        <v>1511.1</v>
      </c>
      <c r="AG74" s="21">
        <v>1531.5</v>
      </c>
      <c r="AH74" s="21">
        <v>3.5608</v>
      </c>
      <c r="AI74" s="21">
        <v>3.0531999999999999</v>
      </c>
      <c r="AJ74" s="21">
        <v>7.2552000000000003</v>
      </c>
      <c r="AK74" s="5"/>
      <c r="AL74" s="25">
        <v>2496.5</v>
      </c>
      <c r="AM74" s="21">
        <v>2662.7</v>
      </c>
      <c r="AN74" s="21">
        <v>5.4336000000000002</v>
      </c>
      <c r="AO74" s="21">
        <v>3.3889</v>
      </c>
      <c r="AP74" s="21">
        <v>9.9213000000000005</v>
      </c>
      <c r="AS74" s="5"/>
      <c r="AW74" s="5"/>
    </row>
    <row r="75" spans="1:49">
      <c r="A75" s="117"/>
      <c r="B75" s="89">
        <v>131</v>
      </c>
      <c r="C75" s="85">
        <v>331.45</v>
      </c>
      <c r="D75" s="85">
        <v>636.66999999999996</v>
      </c>
      <c r="E75" s="69">
        <v>7.3850000000000006E-5</v>
      </c>
      <c r="F75" s="85">
        <f t="shared" si="20"/>
        <v>7305</v>
      </c>
      <c r="G75" s="85">
        <v>0.49898999999999999</v>
      </c>
      <c r="H75" s="69">
        <v>1.5707E-3</v>
      </c>
      <c r="I75" s="69">
        <f t="shared" si="21"/>
        <v>1514900</v>
      </c>
      <c r="J75" s="69">
        <f t="shared" si="22"/>
        <v>1535500</v>
      </c>
      <c r="K75" s="47">
        <f t="shared" si="23"/>
        <v>3567.1</v>
      </c>
      <c r="L75" s="47">
        <f t="shared" si="24"/>
        <v>3054.3</v>
      </c>
      <c r="M75" s="47">
        <v>718.92</v>
      </c>
      <c r="N75" s="69">
        <v>5.2646999999999999E-2</v>
      </c>
      <c r="O75" s="69">
        <v>7.3953999999999999E-3</v>
      </c>
      <c r="P75" s="232"/>
      <c r="Q75" s="232"/>
      <c r="R75" s="47">
        <v>131</v>
      </c>
      <c r="S75" s="47">
        <v>331.45</v>
      </c>
      <c r="T75" s="85">
        <v>79.093999999999994</v>
      </c>
      <c r="U75" s="69">
        <v>2.1654999999999998E-5</v>
      </c>
      <c r="V75" s="85">
        <f t="shared" si="25"/>
        <v>10043</v>
      </c>
      <c r="W75" s="69">
        <v>9.9779000000000007E-2</v>
      </c>
      <c r="X75" s="69">
        <v>1.2643E-2</v>
      </c>
      <c r="Y75" s="69">
        <f t="shared" si="26"/>
        <v>2494700</v>
      </c>
      <c r="Z75" s="69">
        <f t="shared" si="27"/>
        <v>2660300</v>
      </c>
      <c r="AA75" s="47">
        <f t="shared" si="28"/>
        <v>5427.5</v>
      </c>
      <c r="AB75" s="47">
        <f t="shared" si="29"/>
        <v>3398.4</v>
      </c>
      <c r="AC75" s="47">
        <v>452.01</v>
      </c>
      <c r="AD75" s="48">
        <v>0.83375999999999995</v>
      </c>
      <c r="AF75" s="25">
        <v>1514.9</v>
      </c>
      <c r="AG75" s="21">
        <v>1535.5</v>
      </c>
      <c r="AH75" s="21">
        <v>3.5670999999999999</v>
      </c>
      <c r="AI75" s="21">
        <v>3.0543</v>
      </c>
      <c r="AJ75" s="21">
        <v>7.3049999999999997</v>
      </c>
      <c r="AK75" s="5"/>
      <c r="AL75" s="25">
        <v>2494.6999999999998</v>
      </c>
      <c r="AM75" s="21">
        <v>2660.3</v>
      </c>
      <c r="AN75" s="21">
        <v>5.4275000000000002</v>
      </c>
      <c r="AO75" s="21">
        <v>3.3984000000000001</v>
      </c>
      <c r="AP75" s="21">
        <v>10.042999999999999</v>
      </c>
      <c r="AS75" s="5"/>
      <c r="AW75" s="5"/>
    </row>
    <row r="76" spans="1:49">
      <c r="A76" s="117"/>
      <c r="B76" s="89">
        <v>132</v>
      </c>
      <c r="C76" s="85">
        <v>332.04</v>
      </c>
      <c r="D76" s="85">
        <v>634.97</v>
      </c>
      <c r="E76" s="69">
        <v>7.3613000000000001E-5</v>
      </c>
      <c r="F76" s="85">
        <f t="shared" si="20"/>
        <v>7355.9000000000005</v>
      </c>
      <c r="G76" s="85">
        <v>0.49784</v>
      </c>
      <c r="H76" s="69">
        <v>1.5749E-3</v>
      </c>
      <c r="I76" s="69">
        <f t="shared" si="21"/>
        <v>1518600</v>
      </c>
      <c r="J76" s="69">
        <f t="shared" si="22"/>
        <v>1539400</v>
      </c>
      <c r="K76" s="47">
        <f t="shared" si="23"/>
        <v>3573.4</v>
      </c>
      <c r="L76" s="47">
        <f t="shared" si="24"/>
        <v>3055.4</v>
      </c>
      <c r="M76" s="47">
        <v>714.88</v>
      </c>
      <c r="N76" s="69">
        <v>5.3555999999999999E-2</v>
      </c>
      <c r="O76" s="69">
        <v>7.2703000000000004E-3</v>
      </c>
      <c r="P76" s="232"/>
      <c r="Q76" s="232"/>
      <c r="R76" s="47">
        <v>132</v>
      </c>
      <c r="S76" s="47">
        <v>332.04</v>
      </c>
      <c r="T76" s="85">
        <v>79.95</v>
      </c>
      <c r="U76" s="69">
        <v>2.1707000000000001E-5</v>
      </c>
      <c r="V76" s="85">
        <f t="shared" si="25"/>
        <v>10168</v>
      </c>
      <c r="W76" s="69">
        <v>0.10065</v>
      </c>
      <c r="X76" s="69">
        <v>1.2508E-2</v>
      </c>
      <c r="Y76" s="69">
        <f t="shared" si="26"/>
        <v>2492800</v>
      </c>
      <c r="Z76" s="69">
        <f t="shared" si="27"/>
        <v>2657900</v>
      </c>
      <c r="AA76" s="47">
        <f t="shared" si="28"/>
        <v>5421.5</v>
      </c>
      <c r="AB76" s="47">
        <f t="shared" si="29"/>
        <v>3407.9</v>
      </c>
      <c r="AC76" s="47">
        <v>451.29</v>
      </c>
      <c r="AD76" s="48">
        <v>0.82930999999999999</v>
      </c>
      <c r="AF76" s="25">
        <v>1518.6</v>
      </c>
      <c r="AG76" s="21">
        <v>1539.4</v>
      </c>
      <c r="AH76" s="21">
        <v>3.5733999999999999</v>
      </c>
      <c r="AI76" s="21">
        <v>3.0554000000000001</v>
      </c>
      <c r="AJ76" s="21">
        <v>7.3559000000000001</v>
      </c>
      <c r="AK76" s="5"/>
      <c r="AL76" s="25">
        <v>2492.8000000000002</v>
      </c>
      <c r="AM76" s="21">
        <v>2657.9</v>
      </c>
      <c r="AN76" s="21">
        <v>5.4215</v>
      </c>
      <c r="AO76" s="21">
        <v>3.4079000000000002</v>
      </c>
      <c r="AP76" s="21">
        <v>10.167999999999999</v>
      </c>
      <c r="AS76" s="5"/>
      <c r="AW76" s="5"/>
    </row>
    <row r="77" spans="1:49">
      <c r="A77" s="117"/>
      <c r="B77" s="89">
        <v>133</v>
      </c>
      <c r="C77" s="85">
        <v>332.63</v>
      </c>
      <c r="D77" s="85">
        <v>633.27</v>
      </c>
      <c r="E77" s="69">
        <v>7.3375999999999997E-5</v>
      </c>
      <c r="F77" s="85">
        <f t="shared" si="20"/>
        <v>7407.8</v>
      </c>
      <c r="G77" s="85">
        <v>0.49669999999999997</v>
      </c>
      <c r="H77" s="69">
        <v>1.5790999999999999E-3</v>
      </c>
      <c r="I77" s="69">
        <f t="shared" si="21"/>
        <v>1522400</v>
      </c>
      <c r="J77" s="69">
        <f t="shared" si="22"/>
        <v>1543400</v>
      </c>
      <c r="K77" s="47">
        <f t="shared" si="23"/>
        <v>3579.6</v>
      </c>
      <c r="L77" s="47">
        <f t="shared" si="24"/>
        <v>3056.6</v>
      </c>
      <c r="M77" s="47">
        <v>710.84</v>
      </c>
      <c r="N77" s="69">
        <v>5.4476999999999998E-2</v>
      </c>
      <c r="O77" s="69">
        <v>7.1462000000000001E-3</v>
      </c>
      <c r="P77" s="232"/>
      <c r="Q77" s="232"/>
      <c r="R77" s="47">
        <v>133</v>
      </c>
      <c r="S77" s="47">
        <v>332.63</v>
      </c>
      <c r="T77" s="85">
        <v>80.813999999999993</v>
      </c>
      <c r="U77" s="69">
        <v>2.1759E-5</v>
      </c>
      <c r="V77" s="85">
        <f t="shared" si="25"/>
        <v>10295</v>
      </c>
      <c r="W77" s="69">
        <v>0.10153</v>
      </c>
      <c r="X77" s="69">
        <v>1.2374E-2</v>
      </c>
      <c r="Y77" s="69">
        <f t="shared" si="26"/>
        <v>2490900</v>
      </c>
      <c r="Z77" s="69">
        <f t="shared" si="27"/>
        <v>2655500</v>
      </c>
      <c r="AA77" s="47">
        <f t="shared" si="28"/>
        <v>5415.4</v>
      </c>
      <c r="AB77" s="47">
        <f t="shared" si="29"/>
        <v>3417.4</v>
      </c>
      <c r="AC77" s="47">
        <v>450.56</v>
      </c>
      <c r="AD77" s="48">
        <v>0.82487999999999995</v>
      </c>
      <c r="AF77" s="25">
        <v>1522.4</v>
      </c>
      <c r="AG77" s="21">
        <v>1543.4</v>
      </c>
      <c r="AH77" s="21">
        <v>3.5796000000000001</v>
      </c>
      <c r="AI77" s="21">
        <v>3.0566</v>
      </c>
      <c r="AJ77" s="21">
        <v>7.4077999999999999</v>
      </c>
      <c r="AK77" s="5"/>
      <c r="AL77" s="25">
        <v>2490.9</v>
      </c>
      <c r="AM77" s="21">
        <v>2655.5</v>
      </c>
      <c r="AN77" s="21">
        <v>5.4154</v>
      </c>
      <c r="AO77" s="21">
        <v>3.4174000000000002</v>
      </c>
      <c r="AP77" s="21">
        <v>10.295</v>
      </c>
      <c r="AS77" s="5"/>
      <c r="AW77" s="5"/>
    </row>
    <row r="78" spans="1:49">
      <c r="A78" s="117"/>
      <c r="B78" s="89">
        <v>134</v>
      </c>
      <c r="C78" s="85">
        <v>333.22</v>
      </c>
      <c r="D78" s="85">
        <v>631.55999999999995</v>
      </c>
      <c r="E78" s="69">
        <v>7.3139999999999994E-5</v>
      </c>
      <c r="F78" s="85">
        <f t="shared" si="20"/>
        <v>7460.9</v>
      </c>
      <c r="G78" s="85">
        <v>0.49556</v>
      </c>
      <c r="H78" s="69">
        <v>1.5834E-3</v>
      </c>
      <c r="I78" s="69">
        <f t="shared" si="21"/>
        <v>1526100</v>
      </c>
      <c r="J78" s="69">
        <f t="shared" si="22"/>
        <v>1547300</v>
      </c>
      <c r="K78" s="47">
        <f t="shared" si="23"/>
        <v>3585.9</v>
      </c>
      <c r="L78" s="47">
        <f t="shared" si="24"/>
        <v>3057.9</v>
      </c>
      <c r="M78" s="47">
        <v>706.8</v>
      </c>
      <c r="N78" s="69">
        <v>5.5412000000000003E-2</v>
      </c>
      <c r="O78" s="69">
        <v>7.0232000000000003E-3</v>
      </c>
      <c r="P78" s="232"/>
      <c r="Q78" s="232"/>
      <c r="R78" s="47">
        <v>134</v>
      </c>
      <c r="S78" s="47">
        <v>333.22</v>
      </c>
      <c r="T78" s="85">
        <v>81.685000000000002</v>
      </c>
      <c r="U78" s="69">
        <v>2.1810999999999998E-5</v>
      </c>
      <c r="V78" s="85">
        <f t="shared" si="25"/>
        <v>10424</v>
      </c>
      <c r="W78" s="69">
        <v>0.10242</v>
      </c>
      <c r="X78" s="69">
        <v>1.2241999999999999E-2</v>
      </c>
      <c r="Y78" s="69">
        <f t="shared" si="26"/>
        <v>2489000</v>
      </c>
      <c r="Z78" s="69">
        <f t="shared" si="27"/>
        <v>2653000</v>
      </c>
      <c r="AA78" s="47">
        <f t="shared" si="28"/>
        <v>5409.3</v>
      </c>
      <c r="AB78" s="47">
        <f t="shared" si="29"/>
        <v>3426.8999999999996</v>
      </c>
      <c r="AC78" s="47">
        <v>449.83</v>
      </c>
      <c r="AD78" s="48">
        <v>0.82049000000000005</v>
      </c>
      <c r="AF78" s="25">
        <v>1526.1</v>
      </c>
      <c r="AG78" s="21">
        <v>1547.3</v>
      </c>
      <c r="AH78" s="21">
        <v>3.5859000000000001</v>
      </c>
      <c r="AI78" s="21">
        <v>3.0579000000000001</v>
      </c>
      <c r="AJ78" s="21">
        <v>7.4608999999999996</v>
      </c>
      <c r="AK78" s="5"/>
      <c r="AL78" s="25">
        <v>2489</v>
      </c>
      <c r="AM78" s="21">
        <v>2653</v>
      </c>
      <c r="AN78" s="21">
        <v>5.4093</v>
      </c>
      <c r="AO78" s="21">
        <v>3.4268999999999998</v>
      </c>
      <c r="AP78" s="21">
        <v>10.423999999999999</v>
      </c>
      <c r="AS78" s="5"/>
      <c r="AW78" s="5"/>
    </row>
    <row r="79" spans="1:49">
      <c r="A79" s="117"/>
      <c r="B79" s="89">
        <v>135</v>
      </c>
      <c r="C79" s="85">
        <v>333.8</v>
      </c>
      <c r="D79" s="85">
        <v>629.85</v>
      </c>
      <c r="E79" s="69">
        <v>7.2904000000000005E-5</v>
      </c>
      <c r="F79" s="85">
        <f t="shared" si="20"/>
        <v>7515.3</v>
      </c>
      <c r="G79" s="85">
        <v>0.49442000000000003</v>
      </c>
      <c r="H79" s="69">
        <v>1.5877E-3</v>
      </c>
      <c r="I79" s="69">
        <f t="shared" si="21"/>
        <v>1529900</v>
      </c>
      <c r="J79" s="69">
        <f t="shared" si="22"/>
        <v>1551300</v>
      </c>
      <c r="K79" s="47">
        <f t="shared" si="23"/>
        <v>3592.1</v>
      </c>
      <c r="L79" s="47">
        <f t="shared" si="24"/>
        <v>3059.2000000000003</v>
      </c>
      <c r="M79" s="47">
        <v>702.77</v>
      </c>
      <c r="N79" s="69">
        <v>5.6361000000000001E-2</v>
      </c>
      <c r="O79" s="69">
        <v>6.9013E-3</v>
      </c>
      <c r="P79" s="232"/>
      <c r="Q79" s="232"/>
      <c r="R79" s="47">
        <v>135</v>
      </c>
      <c r="S79" s="47">
        <v>333.8</v>
      </c>
      <c r="T79" s="85">
        <v>82.563000000000002</v>
      </c>
      <c r="U79" s="69">
        <v>2.1863999999999999E-5</v>
      </c>
      <c r="V79" s="85">
        <f t="shared" si="25"/>
        <v>10557</v>
      </c>
      <c r="W79" s="69">
        <v>0.10333000000000001</v>
      </c>
      <c r="X79" s="69">
        <v>1.2112E-2</v>
      </c>
      <c r="Y79" s="69">
        <f t="shared" si="26"/>
        <v>2487000</v>
      </c>
      <c r="Z79" s="69">
        <f t="shared" si="27"/>
        <v>2650500</v>
      </c>
      <c r="AA79" s="47">
        <f t="shared" si="28"/>
        <v>5403.2</v>
      </c>
      <c r="AB79" s="47">
        <f t="shared" si="29"/>
        <v>3436.5</v>
      </c>
      <c r="AC79" s="47">
        <v>449.1</v>
      </c>
      <c r="AD79" s="48">
        <v>0.81611999999999996</v>
      </c>
      <c r="AF79" s="25">
        <v>1529.9</v>
      </c>
      <c r="AG79" s="21">
        <v>1551.3</v>
      </c>
      <c r="AH79" s="21">
        <v>3.5920999999999998</v>
      </c>
      <c r="AI79" s="21">
        <v>3.0592000000000001</v>
      </c>
      <c r="AJ79" s="21">
        <v>7.5152999999999999</v>
      </c>
      <c r="AK79" s="5"/>
      <c r="AL79" s="25">
        <v>2487</v>
      </c>
      <c r="AM79" s="21">
        <v>2650.5</v>
      </c>
      <c r="AN79" s="21">
        <v>5.4032</v>
      </c>
      <c r="AO79" s="21">
        <v>3.4365000000000001</v>
      </c>
      <c r="AP79" s="21">
        <v>10.557</v>
      </c>
      <c r="AS79" s="5"/>
      <c r="AW79" s="5"/>
    </row>
    <row r="80" spans="1:49">
      <c r="A80" s="117"/>
      <c r="B80" s="89">
        <v>136</v>
      </c>
      <c r="C80" s="85">
        <v>334.38</v>
      </c>
      <c r="D80" s="85">
        <v>628.13</v>
      </c>
      <c r="E80" s="69">
        <v>7.2668000000000003E-5</v>
      </c>
      <c r="F80" s="85">
        <f t="shared" si="20"/>
        <v>7570.8</v>
      </c>
      <c r="G80" s="85">
        <v>0.49328</v>
      </c>
      <c r="H80" s="69">
        <v>1.5920000000000001E-3</v>
      </c>
      <c r="I80" s="69">
        <f t="shared" si="21"/>
        <v>1533600</v>
      </c>
      <c r="J80" s="69">
        <f t="shared" si="22"/>
        <v>1555200</v>
      </c>
      <c r="K80" s="47">
        <f t="shared" si="23"/>
        <v>3598.3999999999996</v>
      </c>
      <c r="L80" s="47">
        <f t="shared" si="24"/>
        <v>3060.6</v>
      </c>
      <c r="M80" s="47">
        <v>698.73</v>
      </c>
      <c r="N80" s="69">
        <v>5.7324E-2</v>
      </c>
      <c r="O80" s="69">
        <v>6.7803000000000004E-3</v>
      </c>
      <c r="P80" s="232"/>
      <c r="Q80" s="232"/>
      <c r="R80" s="47">
        <v>136</v>
      </c>
      <c r="S80" s="47">
        <v>334.38</v>
      </c>
      <c r="T80" s="85">
        <v>83.447999999999993</v>
      </c>
      <c r="U80" s="69">
        <v>2.1917E-5</v>
      </c>
      <c r="V80" s="85">
        <f t="shared" si="25"/>
        <v>10692</v>
      </c>
      <c r="W80" s="69">
        <v>0.10426000000000001</v>
      </c>
      <c r="X80" s="69">
        <v>1.1983000000000001E-2</v>
      </c>
      <c r="Y80" s="69">
        <f t="shared" si="26"/>
        <v>2485100</v>
      </c>
      <c r="Z80" s="69">
        <f t="shared" si="27"/>
        <v>2648000</v>
      </c>
      <c r="AA80" s="47">
        <f t="shared" si="28"/>
        <v>5397.2</v>
      </c>
      <c r="AB80" s="47">
        <f t="shared" si="29"/>
        <v>3446</v>
      </c>
      <c r="AC80" s="47">
        <v>448.36</v>
      </c>
      <c r="AD80" s="48">
        <v>0.81177999999999995</v>
      </c>
      <c r="AF80" s="25">
        <v>1533.6</v>
      </c>
      <c r="AG80" s="21">
        <v>1555.2</v>
      </c>
      <c r="AH80" s="21">
        <v>3.5983999999999998</v>
      </c>
      <c r="AI80" s="21">
        <v>3.0606</v>
      </c>
      <c r="AJ80" s="21">
        <v>7.5708000000000002</v>
      </c>
      <c r="AK80" s="5"/>
      <c r="AL80" s="25">
        <v>2485.1</v>
      </c>
      <c r="AM80" s="21">
        <v>2648</v>
      </c>
      <c r="AN80" s="21">
        <v>5.3971999999999998</v>
      </c>
      <c r="AO80" s="21">
        <v>3.4460000000000002</v>
      </c>
      <c r="AP80" s="21">
        <v>10.692</v>
      </c>
      <c r="AS80" s="5"/>
      <c r="AW80" s="5"/>
    </row>
    <row r="81" spans="1:49">
      <c r="A81" s="117"/>
      <c r="B81" s="89">
        <v>137</v>
      </c>
      <c r="C81" s="85">
        <v>334.96</v>
      </c>
      <c r="D81" s="85">
        <v>626.41</v>
      </c>
      <c r="E81" s="69">
        <v>7.2433000000000003E-5</v>
      </c>
      <c r="F81" s="85">
        <f t="shared" si="20"/>
        <v>7627.7</v>
      </c>
      <c r="G81" s="85">
        <v>0.49214000000000002</v>
      </c>
      <c r="H81" s="69">
        <v>1.5964E-3</v>
      </c>
      <c r="I81" s="69">
        <f t="shared" si="21"/>
        <v>1537300</v>
      </c>
      <c r="J81" s="69">
        <f t="shared" si="22"/>
        <v>1559200</v>
      </c>
      <c r="K81" s="47">
        <f t="shared" si="23"/>
        <v>3604.6</v>
      </c>
      <c r="L81" s="47">
        <f t="shared" si="24"/>
        <v>3062</v>
      </c>
      <c r="M81" s="47">
        <v>694.69</v>
      </c>
      <c r="N81" s="69">
        <v>5.8300999999999999E-2</v>
      </c>
      <c r="O81" s="69">
        <v>6.6604000000000003E-3</v>
      </c>
      <c r="P81" s="232"/>
      <c r="Q81" s="232"/>
      <c r="R81" s="47">
        <v>137</v>
      </c>
      <c r="S81" s="47">
        <v>334.96</v>
      </c>
      <c r="T81" s="85">
        <v>84.341999999999999</v>
      </c>
      <c r="U81" s="69">
        <v>2.1971E-5</v>
      </c>
      <c r="V81" s="85">
        <f t="shared" si="25"/>
        <v>10831</v>
      </c>
      <c r="W81" s="69">
        <v>0.1052</v>
      </c>
      <c r="X81" s="69">
        <v>1.1856999999999999E-2</v>
      </c>
      <c r="Y81" s="69">
        <f t="shared" si="26"/>
        <v>2483100</v>
      </c>
      <c r="Z81" s="69">
        <f t="shared" si="27"/>
        <v>2645500</v>
      </c>
      <c r="AA81" s="47">
        <f t="shared" si="28"/>
        <v>5391.0999999999995</v>
      </c>
      <c r="AB81" s="47">
        <f t="shared" si="29"/>
        <v>3455.6</v>
      </c>
      <c r="AC81" s="47">
        <v>447.62</v>
      </c>
      <c r="AD81" s="48">
        <v>0.80747000000000002</v>
      </c>
      <c r="AF81" s="25">
        <v>1537.3</v>
      </c>
      <c r="AG81" s="21">
        <v>1559.2</v>
      </c>
      <c r="AH81" s="21">
        <v>3.6046</v>
      </c>
      <c r="AI81" s="21">
        <v>3.0619999999999998</v>
      </c>
      <c r="AJ81" s="21">
        <v>7.6276999999999999</v>
      </c>
      <c r="AK81" s="5"/>
      <c r="AL81" s="25">
        <v>2483.1</v>
      </c>
      <c r="AM81" s="21">
        <v>2645.5</v>
      </c>
      <c r="AN81" s="21">
        <v>5.3910999999999998</v>
      </c>
      <c r="AO81" s="21">
        <v>3.4556</v>
      </c>
      <c r="AP81" s="21">
        <v>10.831</v>
      </c>
      <c r="AS81" s="5"/>
      <c r="AW81" s="5"/>
    </row>
    <row r="82" spans="1:49">
      <c r="A82" s="117"/>
      <c r="B82" s="89">
        <v>138</v>
      </c>
      <c r="C82" s="85">
        <v>335.53</v>
      </c>
      <c r="D82" s="85">
        <v>624.69000000000005</v>
      </c>
      <c r="E82" s="69">
        <v>7.2199000000000004E-5</v>
      </c>
      <c r="F82" s="85">
        <f t="shared" si="20"/>
        <v>7685.9000000000005</v>
      </c>
      <c r="G82" s="85">
        <v>0.49099999999999999</v>
      </c>
      <c r="H82" s="69">
        <v>1.6008000000000001E-3</v>
      </c>
      <c r="I82" s="69">
        <f t="shared" si="21"/>
        <v>1541000</v>
      </c>
      <c r="J82" s="69">
        <f t="shared" si="22"/>
        <v>1563100</v>
      </c>
      <c r="K82" s="47">
        <f t="shared" si="23"/>
        <v>3610.7999999999997</v>
      </c>
      <c r="L82" s="47">
        <f t="shared" si="24"/>
        <v>3063.5</v>
      </c>
      <c r="M82" s="47">
        <v>690.66</v>
      </c>
      <c r="N82" s="69">
        <v>5.9292999999999998E-2</v>
      </c>
      <c r="O82" s="69">
        <v>6.5414999999999996E-3</v>
      </c>
      <c r="P82" s="232"/>
      <c r="Q82" s="232"/>
      <c r="R82" s="47">
        <v>138</v>
      </c>
      <c r="S82" s="47">
        <v>335.53</v>
      </c>
      <c r="T82" s="85">
        <v>85.242999999999995</v>
      </c>
      <c r="U82" s="69">
        <v>2.2025E-5</v>
      </c>
      <c r="V82" s="85">
        <f t="shared" si="25"/>
        <v>10973</v>
      </c>
      <c r="W82" s="69">
        <v>0.10616</v>
      </c>
      <c r="X82" s="69">
        <v>1.1731E-2</v>
      </c>
      <c r="Y82" s="69">
        <f t="shared" si="26"/>
        <v>2481100</v>
      </c>
      <c r="Z82" s="69">
        <f t="shared" si="27"/>
        <v>2643000</v>
      </c>
      <c r="AA82" s="47">
        <f t="shared" si="28"/>
        <v>5385</v>
      </c>
      <c r="AB82" s="47">
        <f t="shared" si="29"/>
        <v>3465.2</v>
      </c>
      <c r="AC82" s="47">
        <v>446.87</v>
      </c>
      <c r="AD82" s="48">
        <v>0.80318000000000001</v>
      </c>
      <c r="AF82" s="25">
        <v>1541</v>
      </c>
      <c r="AG82" s="21">
        <v>1563.1</v>
      </c>
      <c r="AH82" s="21">
        <v>3.6107999999999998</v>
      </c>
      <c r="AI82" s="21">
        <v>3.0634999999999999</v>
      </c>
      <c r="AJ82" s="21">
        <v>7.6859000000000002</v>
      </c>
      <c r="AK82" s="5"/>
      <c r="AL82" s="25">
        <v>2481.1</v>
      </c>
      <c r="AM82" s="21">
        <v>2643</v>
      </c>
      <c r="AN82" s="21">
        <v>5.3849999999999998</v>
      </c>
      <c r="AO82" s="21">
        <v>3.4651999999999998</v>
      </c>
      <c r="AP82" s="21">
        <v>10.973000000000001</v>
      </c>
      <c r="AS82" s="5"/>
      <c r="AW82" s="5"/>
    </row>
    <row r="83" spans="1:49">
      <c r="A83" s="117"/>
      <c r="B83" s="89">
        <v>139</v>
      </c>
      <c r="C83" s="85">
        <v>336.1</v>
      </c>
      <c r="D83" s="85">
        <v>622.95000000000005</v>
      </c>
      <c r="E83" s="69">
        <v>7.1965000000000006E-5</v>
      </c>
      <c r="F83" s="85">
        <f t="shared" si="20"/>
        <v>7745.5</v>
      </c>
      <c r="G83" s="85">
        <v>0.48987000000000003</v>
      </c>
      <c r="H83" s="69">
        <v>1.6053E-3</v>
      </c>
      <c r="I83" s="69">
        <f t="shared" si="21"/>
        <v>1544700</v>
      </c>
      <c r="J83" s="69">
        <f t="shared" si="22"/>
        <v>1567000</v>
      </c>
      <c r="K83" s="47">
        <f t="shared" si="23"/>
        <v>3617</v>
      </c>
      <c r="L83" s="47">
        <f t="shared" si="24"/>
        <v>3065.1000000000004</v>
      </c>
      <c r="M83" s="47">
        <v>686.62</v>
      </c>
      <c r="N83" s="69">
        <v>6.0301E-2</v>
      </c>
      <c r="O83" s="69">
        <v>6.4237000000000001E-3</v>
      </c>
      <c r="P83" s="232"/>
      <c r="Q83" s="232"/>
      <c r="R83" s="47">
        <v>139</v>
      </c>
      <c r="S83" s="47">
        <v>336.1</v>
      </c>
      <c r="T83" s="85">
        <v>86.152000000000001</v>
      </c>
      <c r="U83" s="69">
        <v>2.2079999999999999E-5</v>
      </c>
      <c r="V83" s="85">
        <f t="shared" si="25"/>
        <v>11118</v>
      </c>
      <c r="W83" s="69">
        <v>0.10714</v>
      </c>
      <c r="X83" s="69">
        <v>1.1606999999999999E-2</v>
      </c>
      <c r="Y83" s="69">
        <f t="shared" si="26"/>
        <v>2479100</v>
      </c>
      <c r="Z83" s="69">
        <f t="shared" si="27"/>
        <v>2640400</v>
      </c>
      <c r="AA83" s="47">
        <f t="shared" si="28"/>
        <v>5378.8</v>
      </c>
      <c r="AB83" s="47">
        <f t="shared" si="29"/>
        <v>3474.8</v>
      </c>
      <c r="AC83" s="47">
        <v>446.12</v>
      </c>
      <c r="AD83" s="48">
        <v>0.79891000000000001</v>
      </c>
      <c r="AF83" s="25">
        <v>1544.7</v>
      </c>
      <c r="AG83" s="21">
        <v>1567</v>
      </c>
      <c r="AH83" s="21">
        <v>3.617</v>
      </c>
      <c r="AI83" s="21">
        <v>3.0651000000000002</v>
      </c>
      <c r="AJ83" s="21">
        <v>7.7454999999999998</v>
      </c>
      <c r="AK83" s="5"/>
      <c r="AL83" s="25">
        <v>2479.1</v>
      </c>
      <c r="AM83" s="21">
        <v>2640.4</v>
      </c>
      <c r="AN83" s="21">
        <v>5.3788</v>
      </c>
      <c r="AO83" s="21">
        <v>3.4748000000000001</v>
      </c>
      <c r="AP83" s="21">
        <v>11.118</v>
      </c>
      <c r="AS83" s="5"/>
      <c r="AW83" s="5"/>
    </row>
    <row r="84" spans="1:49">
      <c r="A84" s="117"/>
      <c r="B84" s="89">
        <v>140</v>
      </c>
      <c r="C84" s="85">
        <v>336.67</v>
      </c>
      <c r="D84" s="85">
        <v>621.22</v>
      </c>
      <c r="E84" s="69">
        <v>7.1730999999999995E-5</v>
      </c>
      <c r="F84" s="85">
        <f t="shared" si="20"/>
        <v>7806.6</v>
      </c>
      <c r="G84" s="85">
        <v>0.48873</v>
      </c>
      <c r="H84" s="69">
        <v>1.6096999999999999E-3</v>
      </c>
      <c r="I84" s="69">
        <f t="shared" si="21"/>
        <v>1548400</v>
      </c>
      <c r="J84" s="69">
        <f t="shared" si="22"/>
        <v>1571000</v>
      </c>
      <c r="K84" s="47">
        <f t="shared" si="23"/>
        <v>3623.2000000000003</v>
      </c>
      <c r="L84" s="47">
        <f t="shared" si="24"/>
        <v>3066.7</v>
      </c>
      <c r="M84" s="47">
        <v>682.58</v>
      </c>
      <c r="N84" s="69">
        <v>6.1323999999999997E-2</v>
      </c>
      <c r="O84" s="69">
        <v>6.3068000000000004E-3</v>
      </c>
      <c r="P84" s="232"/>
      <c r="Q84" s="232"/>
      <c r="R84" s="47">
        <v>140</v>
      </c>
      <c r="S84" s="47">
        <v>336.67</v>
      </c>
      <c r="T84" s="85">
        <v>87.069000000000003</v>
      </c>
      <c r="U84" s="69">
        <v>2.2135000000000001E-5</v>
      </c>
      <c r="V84" s="85">
        <f t="shared" si="25"/>
        <v>11266</v>
      </c>
      <c r="W84" s="69">
        <v>0.10814</v>
      </c>
      <c r="X84" s="69">
        <v>1.1485E-2</v>
      </c>
      <c r="Y84" s="69">
        <f t="shared" si="26"/>
        <v>2477100</v>
      </c>
      <c r="Z84" s="69">
        <f t="shared" si="27"/>
        <v>2637900</v>
      </c>
      <c r="AA84" s="47">
        <f t="shared" si="28"/>
        <v>5372.7</v>
      </c>
      <c r="AB84" s="47">
        <f t="shared" si="29"/>
        <v>3484.5</v>
      </c>
      <c r="AC84" s="47">
        <v>445.36</v>
      </c>
      <c r="AD84" s="48">
        <v>0.79466000000000003</v>
      </c>
      <c r="AF84" s="25">
        <v>1548.4</v>
      </c>
      <c r="AG84" s="21">
        <v>1571</v>
      </c>
      <c r="AH84" s="21">
        <v>3.6232000000000002</v>
      </c>
      <c r="AI84" s="21">
        <v>3.0667</v>
      </c>
      <c r="AJ84" s="21">
        <v>7.8066000000000004</v>
      </c>
      <c r="AK84" s="5"/>
      <c r="AL84" s="25">
        <v>2477.1</v>
      </c>
      <c r="AM84" s="21">
        <v>2637.9</v>
      </c>
      <c r="AN84" s="21">
        <v>5.3727</v>
      </c>
      <c r="AO84" s="21">
        <v>3.4845000000000002</v>
      </c>
      <c r="AP84" s="21">
        <v>11.266</v>
      </c>
      <c r="AS84" s="5"/>
      <c r="AW84" s="5"/>
    </row>
    <row r="85" spans="1:49">
      <c r="A85" s="117"/>
      <c r="B85" s="89">
        <v>141</v>
      </c>
      <c r="C85" s="85">
        <v>337.23</v>
      </c>
      <c r="D85" s="85">
        <v>619.48</v>
      </c>
      <c r="E85" s="69">
        <v>7.1496999999999997E-5</v>
      </c>
      <c r="F85" s="85">
        <f t="shared" si="20"/>
        <v>7869.2</v>
      </c>
      <c r="G85" s="85">
        <v>0.48759999999999998</v>
      </c>
      <c r="H85" s="69">
        <v>1.6142999999999999E-3</v>
      </c>
      <c r="I85" s="69">
        <f t="shared" si="21"/>
        <v>1552100</v>
      </c>
      <c r="J85" s="69">
        <f t="shared" si="22"/>
        <v>1574900</v>
      </c>
      <c r="K85" s="47">
        <f t="shared" si="23"/>
        <v>3629.3</v>
      </c>
      <c r="L85" s="47">
        <f t="shared" si="24"/>
        <v>3068.4</v>
      </c>
      <c r="M85" s="47">
        <v>678.54</v>
      </c>
      <c r="N85" s="69">
        <v>6.2363000000000002E-2</v>
      </c>
      <c r="O85" s="69">
        <v>6.1909E-3</v>
      </c>
      <c r="P85" s="232"/>
      <c r="Q85" s="232"/>
      <c r="R85" s="47">
        <v>141</v>
      </c>
      <c r="S85" s="47">
        <v>337.23</v>
      </c>
      <c r="T85" s="85">
        <v>87.994</v>
      </c>
      <c r="U85" s="69">
        <v>2.2191000000000001E-5</v>
      </c>
      <c r="V85" s="85">
        <f t="shared" si="25"/>
        <v>11418</v>
      </c>
      <c r="W85" s="69">
        <v>0.10915</v>
      </c>
      <c r="X85" s="69">
        <v>1.1364000000000001E-2</v>
      </c>
      <c r="Y85" s="69">
        <f t="shared" si="26"/>
        <v>2475000</v>
      </c>
      <c r="Z85" s="69">
        <f t="shared" si="27"/>
        <v>2635300</v>
      </c>
      <c r="AA85" s="47">
        <f t="shared" si="28"/>
        <v>5366.6</v>
      </c>
      <c r="AB85" s="47">
        <f t="shared" si="29"/>
        <v>3494.2000000000003</v>
      </c>
      <c r="AC85" s="47">
        <v>444.6</v>
      </c>
      <c r="AD85" s="48">
        <v>0.79044000000000003</v>
      </c>
      <c r="AF85" s="25">
        <v>1552.1</v>
      </c>
      <c r="AG85" s="21">
        <v>1574.9</v>
      </c>
      <c r="AH85" s="21">
        <v>3.6293000000000002</v>
      </c>
      <c r="AI85" s="21">
        <v>3.0684</v>
      </c>
      <c r="AJ85" s="21">
        <v>7.8692000000000002</v>
      </c>
      <c r="AK85" s="5"/>
      <c r="AL85" s="25">
        <v>2475</v>
      </c>
      <c r="AM85" s="21">
        <v>2635.3</v>
      </c>
      <c r="AN85" s="21">
        <v>5.3666</v>
      </c>
      <c r="AO85" s="21">
        <v>3.4942000000000002</v>
      </c>
      <c r="AP85" s="21">
        <v>11.417999999999999</v>
      </c>
      <c r="AS85" s="5"/>
      <c r="AW85" s="5"/>
    </row>
    <row r="86" spans="1:49">
      <c r="A86" s="117"/>
      <c r="B86" s="89">
        <v>142</v>
      </c>
      <c r="C86" s="85">
        <v>337.79</v>
      </c>
      <c r="D86" s="85">
        <v>617.73</v>
      </c>
      <c r="E86" s="69">
        <v>7.1264000000000001E-5</v>
      </c>
      <c r="F86" s="85">
        <f t="shared" si="20"/>
        <v>7933.4</v>
      </c>
      <c r="G86" s="85">
        <v>0.48646</v>
      </c>
      <c r="H86" s="69">
        <v>1.6188000000000001E-3</v>
      </c>
      <c r="I86" s="69">
        <f t="shared" si="21"/>
        <v>1555800</v>
      </c>
      <c r="J86" s="69">
        <f t="shared" si="22"/>
        <v>1578800</v>
      </c>
      <c r="K86" s="47">
        <f t="shared" si="23"/>
        <v>3635.5</v>
      </c>
      <c r="L86" s="47">
        <f t="shared" si="24"/>
        <v>3070.2</v>
      </c>
      <c r="M86" s="47">
        <v>674.5</v>
      </c>
      <c r="N86" s="69">
        <v>6.3418000000000002E-2</v>
      </c>
      <c r="O86" s="69">
        <v>6.0759999999999998E-3</v>
      </c>
      <c r="P86" s="232"/>
      <c r="Q86" s="232"/>
      <c r="R86" s="47">
        <v>142</v>
      </c>
      <c r="S86" s="47">
        <v>337.79</v>
      </c>
      <c r="T86" s="85">
        <v>88.927999999999997</v>
      </c>
      <c r="U86" s="69">
        <v>2.2246999999999999E-5</v>
      </c>
      <c r="V86" s="85">
        <f t="shared" si="25"/>
        <v>11573</v>
      </c>
      <c r="W86" s="69">
        <v>0.11018</v>
      </c>
      <c r="X86" s="69">
        <v>1.1245E-2</v>
      </c>
      <c r="Y86" s="69">
        <f t="shared" si="26"/>
        <v>2472900</v>
      </c>
      <c r="Z86" s="69">
        <f t="shared" si="27"/>
        <v>2632600</v>
      </c>
      <c r="AA86" s="47">
        <f t="shared" si="28"/>
        <v>5360.4000000000005</v>
      </c>
      <c r="AB86" s="47">
        <f t="shared" si="29"/>
        <v>3503.8</v>
      </c>
      <c r="AC86" s="47">
        <v>443.83</v>
      </c>
      <c r="AD86" s="48">
        <v>0.78624000000000005</v>
      </c>
      <c r="AF86" s="25">
        <v>1555.8</v>
      </c>
      <c r="AG86" s="21">
        <v>1578.8</v>
      </c>
      <c r="AH86" s="21">
        <v>3.6355</v>
      </c>
      <c r="AI86" s="21">
        <v>3.0701999999999998</v>
      </c>
      <c r="AJ86" s="21">
        <v>7.9333999999999998</v>
      </c>
      <c r="AK86" s="5"/>
      <c r="AL86" s="25">
        <v>2472.9</v>
      </c>
      <c r="AM86" s="21">
        <v>2632.6</v>
      </c>
      <c r="AN86" s="21">
        <v>5.3604000000000003</v>
      </c>
      <c r="AO86" s="21">
        <v>3.5038</v>
      </c>
      <c r="AP86" s="21">
        <v>11.573</v>
      </c>
      <c r="AS86" s="5"/>
      <c r="AW86" s="5"/>
    </row>
    <row r="87" spans="1:49">
      <c r="A87" s="117"/>
      <c r="B87" s="89">
        <v>143</v>
      </c>
      <c r="C87" s="85">
        <v>338.35</v>
      </c>
      <c r="D87" s="85">
        <v>615.98</v>
      </c>
      <c r="E87" s="69">
        <v>7.1031000000000005E-5</v>
      </c>
      <c r="F87" s="85">
        <f t="shared" si="20"/>
        <v>7999.3</v>
      </c>
      <c r="G87" s="85">
        <v>0.48532999999999998</v>
      </c>
      <c r="H87" s="69">
        <v>1.6234000000000001E-3</v>
      </c>
      <c r="I87" s="69">
        <f t="shared" si="21"/>
        <v>1559500</v>
      </c>
      <c r="J87" s="69">
        <f t="shared" si="22"/>
        <v>1582700</v>
      </c>
      <c r="K87" s="47">
        <f t="shared" si="23"/>
        <v>3641.7000000000003</v>
      </c>
      <c r="L87" s="47">
        <f t="shared" si="24"/>
        <v>3072.1</v>
      </c>
      <c r="M87" s="47">
        <v>670.45</v>
      </c>
      <c r="N87" s="69">
        <v>6.4491000000000007E-2</v>
      </c>
      <c r="O87" s="69">
        <v>5.9620999999999997E-3</v>
      </c>
      <c r="P87" s="232"/>
      <c r="Q87" s="232"/>
      <c r="R87" s="47">
        <v>143</v>
      </c>
      <c r="S87" s="47">
        <v>338.35</v>
      </c>
      <c r="T87" s="85">
        <v>89.870999999999995</v>
      </c>
      <c r="U87" s="69">
        <v>2.2303E-5</v>
      </c>
      <c r="V87" s="85">
        <f t="shared" si="25"/>
        <v>11733</v>
      </c>
      <c r="W87" s="69">
        <v>0.11124000000000001</v>
      </c>
      <c r="X87" s="69">
        <v>1.1127E-2</v>
      </c>
      <c r="Y87" s="69">
        <f t="shared" si="26"/>
        <v>2470900</v>
      </c>
      <c r="Z87" s="69">
        <f t="shared" si="27"/>
        <v>2630000</v>
      </c>
      <c r="AA87" s="47">
        <f t="shared" si="28"/>
        <v>5354.2</v>
      </c>
      <c r="AB87" s="47">
        <f t="shared" si="29"/>
        <v>3513.6</v>
      </c>
      <c r="AC87" s="47">
        <v>443.06</v>
      </c>
      <c r="AD87" s="48">
        <v>0.78205999999999998</v>
      </c>
      <c r="AF87" s="25">
        <v>1559.5</v>
      </c>
      <c r="AG87" s="21">
        <v>1582.7</v>
      </c>
      <c r="AH87" s="21">
        <v>3.6417000000000002</v>
      </c>
      <c r="AI87" s="21">
        <v>3.0720999999999998</v>
      </c>
      <c r="AJ87" s="21">
        <v>7.9992999999999999</v>
      </c>
      <c r="AK87" s="5"/>
      <c r="AL87" s="25">
        <v>2470.9</v>
      </c>
      <c r="AM87" s="21">
        <v>2630</v>
      </c>
      <c r="AN87" s="21">
        <v>5.3541999999999996</v>
      </c>
      <c r="AO87" s="21">
        <v>3.5135999999999998</v>
      </c>
      <c r="AP87" s="21">
        <v>11.733000000000001</v>
      </c>
      <c r="AS87" s="5"/>
      <c r="AW87" s="5"/>
    </row>
    <row r="88" spans="1:49">
      <c r="A88" s="117"/>
      <c r="B88" s="89">
        <v>144</v>
      </c>
      <c r="C88" s="85">
        <v>338.9</v>
      </c>
      <c r="D88" s="85">
        <v>614.22</v>
      </c>
      <c r="E88" s="69">
        <v>7.0797999999999995E-5</v>
      </c>
      <c r="F88" s="85">
        <f t="shared" si="20"/>
        <v>8066.8000000000011</v>
      </c>
      <c r="G88" s="85">
        <v>0.48420000000000002</v>
      </c>
      <c r="H88" s="69">
        <v>1.6280999999999999E-3</v>
      </c>
      <c r="I88" s="69">
        <f t="shared" si="21"/>
        <v>1563200</v>
      </c>
      <c r="J88" s="69">
        <f t="shared" si="22"/>
        <v>1586700</v>
      </c>
      <c r="K88" s="47">
        <f t="shared" si="23"/>
        <v>3647.8</v>
      </c>
      <c r="L88" s="47">
        <f t="shared" si="24"/>
        <v>3074</v>
      </c>
      <c r="M88" s="47">
        <v>666.4</v>
      </c>
      <c r="N88" s="69">
        <v>6.5581E-2</v>
      </c>
      <c r="O88" s="69">
        <v>5.8491999999999997E-3</v>
      </c>
      <c r="P88" s="232"/>
      <c r="Q88" s="232"/>
      <c r="R88" s="47">
        <v>144</v>
      </c>
      <c r="S88" s="47">
        <v>338.9</v>
      </c>
      <c r="T88" s="85">
        <v>90.822000000000003</v>
      </c>
      <c r="U88" s="69">
        <v>2.2361000000000002E-5</v>
      </c>
      <c r="V88" s="85">
        <f t="shared" si="25"/>
        <v>11896</v>
      </c>
      <c r="W88" s="69">
        <v>0.11230999999999999</v>
      </c>
      <c r="X88" s="69">
        <v>1.1011E-2</v>
      </c>
      <c r="Y88" s="69">
        <f t="shared" si="26"/>
        <v>2468700</v>
      </c>
      <c r="Z88" s="69">
        <f t="shared" si="27"/>
        <v>2627300</v>
      </c>
      <c r="AA88" s="47">
        <f t="shared" si="28"/>
        <v>5348.0999999999995</v>
      </c>
      <c r="AB88" s="47">
        <f t="shared" si="29"/>
        <v>3523.2999999999997</v>
      </c>
      <c r="AC88" s="47">
        <v>442.29</v>
      </c>
      <c r="AD88" s="48">
        <v>0.77790000000000004</v>
      </c>
      <c r="AF88" s="25">
        <v>1563.2</v>
      </c>
      <c r="AG88" s="21">
        <v>1586.7</v>
      </c>
      <c r="AH88" s="21">
        <v>3.6478000000000002</v>
      </c>
      <c r="AI88" s="21">
        <v>3.0739999999999998</v>
      </c>
      <c r="AJ88" s="21">
        <v>8.0668000000000006</v>
      </c>
      <c r="AK88" s="5"/>
      <c r="AL88" s="25">
        <v>2468.6999999999998</v>
      </c>
      <c r="AM88" s="21">
        <v>2627.3</v>
      </c>
      <c r="AN88" s="21">
        <v>5.3480999999999996</v>
      </c>
      <c r="AO88" s="21">
        <v>3.5232999999999999</v>
      </c>
      <c r="AP88" s="21">
        <v>11.896000000000001</v>
      </c>
      <c r="AS88" s="5"/>
      <c r="AW88" s="5"/>
    </row>
    <row r="89" spans="1:49">
      <c r="A89" s="117"/>
      <c r="B89" s="89">
        <v>145</v>
      </c>
      <c r="C89" s="85">
        <v>339.45</v>
      </c>
      <c r="D89" s="85">
        <v>612.45000000000005</v>
      </c>
      <c r="E89" s="69">
        <v>7.0564999999999999E-5</v>
      </c>
      <c r="F89" s="85">
        <f t="shared" si="20"/>
        <v>8136.2000000000007</v>
      </c>
      <c r="G89" s="85">
        <v>0.48307</v>
      </c>
      <c r="H89" s="69">
        <v>1.6328E-3</v>
      </c>
      <c r="I89" s="69">
        <f t="shared" si="21"/>
        <v>1566900</v>
      </c>
      <c r="J89" s="69">
        <f t="shared" si="22"/>
        <v>1590600</v>
      </c>
      <c r="K89" s="47">
        <f t="shared" si="23"/>
        <v>3653.9</v>
      </c>
      <c r="L89" s="47">
        <f t="shared" si="24"/>
        <v>3076</v>
      </c>
      <c r="M89" s="47">
        <v>662.35</v>
      </c>
      <c r="N89" s="69">
        <v>6.6688999999999998E-2</v>
      </c>
      <c r="O89" s="69">
        <v>5.7371999999999996E-3</v>
      </c>
      <c r="P89" s="232"/>
      <c r="Q89" s="232"/>
      <c r="R89" s="47">
        <v>145</v>
      </c>
      <c r="S89" s="47">
        <v>339.45</v>
      </c>
      <c r="T89" s="85">
        <v>91.783000000000001</v>
      </c>
      <c r="U89" s="69">
        <v>2.2418000000000001E-5</v>
      </c>
      <c r="V89" s="85">
        <f t="shared" si="25"/>
        <v>12063</v>
      </c>
      <c r="W89" s="69">
        <v>0.1134</v>
      </c>
      <c r="X89" s="69">
        <v>1.0895E-2</v>
      </c>
      <c r="Y89" s="69">
        <f t="shared" si="26"/>
        <v>2466600</v>
      </c>
      <c r="Z89" s="69">
        <f t="shared" si="27"/>
        <v>2624600</v>
      </c>
      <c r="AA89" s="47">
        <f t="shared" si="28"/>
        <v>5341.8</v>
      </c>
      <c r="AB89" s="47">
        <f t="shared" si="29"/>
        <v>3533.1</v>
      </c>
      <c r="AC89" s="47">
        <v>441.51</v>
      </c>
      <c r="AD89" s="48">
        <v>0.77376</v>
      </c>
      <c r="AF89" s="25">
        <v>1566.9</v>
      </c>
      <c r="AG89" s="21">
        <v>1590.6</v>
      </c>
      <c r="AH89" s="21">
        <v>3.6539000000000001</v>
      </c>
      <c r="AI89" s="21">
        <v>3.0760000000000001</v>
      </c>
      <c r="AJ89" s="21">
        <v>8.1362000000000005</v>
      </c>
      <c r="AK89" s="5"/>
      <c r="AL89" s="25">
        <v>2466.6</v>
      </c>
      <c r="AM89" s="21">
        <v>2624.6</v>
      </c>
      <c r="AN89" s="21">
        <v>5.3418000000000001</v>
      </c>
      <c r="AO89" s="21">
        <v>3.5331000000000001</v>
      </c>
      <c r="AP89" s="21">
        <v>12.063000000000001</v>
      </c>
      <c r="AS89" s="5"/>
      <c r="AW89" s="5"/>
    </row>
    <row r="90" spans="1:49">
      <c r="A90" s="117"/>
      <c r="B90" s="89">
        <v>146</v>
      </c>
      <c r="C90" s="85">
        <v>340</v>
      </c>
      <c r="D90" s="85">
        <v>610.67999999999995</v>
      </c>
      <c r="E90" s="69">
        <v>7.0333000000000006E-5</v>
      </c>
      <c r="F90" s="85">
        <f t="shared" si="20"/>
        <v>8207.5</v>
      </c>
      <c r="G90" s="85">
        <v>0.48193999999999998</v>
      </c>
      <c r="H90" s="69">
        <v>1.6375000000000001E-3</v>
      </c>
      <c r="I90" s="69">
        <f t="shared" si="21"/>
        <v>1570600</v>
      </c>
      <c r="J90" s="69">
        <f t="shared" si="22"/>
        <v>1594500</v>
      </c>
      <c r="K90" s="47">
        <f t="shared" si="23"/>
        <v>3660.1</v>
      </c>
      <c r="L90" s="47">
        <f t="shared" si="24"/>
        <v>3078.1</v>
      </c>
      <c r="M90" s="47">
        <v>658.29</v>
      </c>
      <c r="N90" s="69">
        <v>6.7816000000000001E-2</v>
      </c>
      <c r="O90" s="69">
        <v>5.6261999999999996E-3</v>
      </c>
      <c r="P90" s="232"/>
      <c r="Q90" s="232"/>
      <c r="R90" s="47">
        <v>146</v>
      </c>
      <c r="S90" s="47">
        <v>340</v>
      </c>
      <c r="T90" s="85">
        <v>92.751999999999995</v>
      </c>
      <c r="U90" s="69">
        <v>2.2476999999999998E-5</v>
      </c>
      <c r="V90" s="85">
        <f t="shared" si="25"/>
        <v>12235</v>
      </c>
      <c r="W90" s="69">
        <v>0.11451</v>
      </c>
      <c r="X90" s="69">
        <v>1.0781000000000001E-2</v>
      </c>
      <c r="Y90" s="69">
        <f t="shared" si="26"/>
        <v>2464500</v>
      </c>
      <c r="Z90" s="69">
        <f t="shared" si="27"/>
        <v>2621900</v>
      </c>
      <c r="AA90" s="47">
        <f t="shared" si="28"/>
        <v>5335.6</v>
      </c>
      <c r="AB90" s="47">
        <f t="shared" si="29"/>
        <v>3542.9</v>
      </c>
      <c r="AC90" s="47">
        <v>440.72</v>
      </c>
      <c r="AD90" s="48">
        <v>0.76963999999999999</v>
      </c>
      <c r="AF90" s="25">
        <v>1570.6</v>
      </c>
      <c r="AG90" s="21">
        <v>1594.5</v>
      </c>
      <c r="AH90" s="21">
        <v>3.6600999999999999</v>
      </c>
      <c r="AI90" s="21">
        <v>3.0781000000000001</v>
      </c>
      <c r="AJ90" s="21">
        <v>8.2074999999999996</v>
      </c>
      <c r="AK90" s="5"/>
      <c r="AL90" s="25">
        <v>2464.5</v>
      </c>
      <c r="AM90" s="21">
        <v>2621.9</v>
      </c>
      <c r="AN90" s="21">
        <v>5.3356000000000003</v>
      </c>
      <c r="AO90" s="21">
        <v>3.5428999999999999</v>
      </c>
      <c r="AP90" s="21">
        <v>12.234999999999999</v>
      </c>
      <c r="AS90" s="5"/>
      <c r="AW90" s="5"/>
    </row>
    <row r="91" spans="1:49">
      <c r="A91" s="117"/>
      <c r="B91" s="89">
        <v>147</v>
      </c>
      <c r="C91" s="85">
        <v>340.54</v>
      </c>
      <c r="D91" s="85">
        <v>608.9</v>
      </c>
      <c r="E91" s="69">
        <v>7.0099999999999996E-5</v>
      </c>
      <c r="F91" s="85">
        <f t="shared" si="20"/>
        <v>8280.6999999999989</v>
      </c>
      <c r="G91" s="85">
        <v>0.48081000000000002</v>
      </c>
      <c r="H91" s="69">
        <v>1.6423E-3</v>
      </c>
      <c r="I91" s="69">
        <f t="shared" si="21"/>
        <v>1574300</v>
      </c>
      <c r="J91" s="69">
        <f t="shared" si="22"/>
        <v>1598400</v>
      </c>
      <c r="K91" s="47">
        <f t="shared" si="23"/>
        <v>3666.2</v>
      </c>
      <c r="L91" s="47">
        <f t="shared" si="24"/>
        <v>3080.2999999999997</v>
      </c>
      <c r="M91" s="47">
        <v>654.23</v>
      </c>
      <c r="N91" s="69">
        <v>6.8962999999999997E-2</v>
      </c>
      <c r="O91" s="69">
        <v>5.5161999999999997E-3</v>
      </c>
      <c r="P91" s="232"/>
      <c r="Q91" s="232"/>
      <c r="R91" s="47">
        <v>147</v>
      </c>
      <c r="S91" s="47">
        <v>340.54</v>
      </c>
      <c r="T91" s="85">
        <v>93.730999999999995</v>
      </c>
      <c r="U91" s="69">
        <v>2.2535999999999999E-5</v>
      </c>
      <c r="V91" s="85">
        <f t="shared" si="25"/>
        <v>12410</v>
      </c>
      <c r="W91" s="69">
        <v>0.11565</v>
      </c>
      <c r="X91" s="69">
        <v>1.0669E-2</v>
      </c>
      <c r="Y91" s="69">
        <f t="shared" si="26"/>
        <v>2462300</v>
      </c>
      <c r="Z91" s="69">
        <f t="shared" si="27"/>
        <v>2619100</v>
      </c>
      <c r="AA91" s="47">
        <f t="shared" si="28"/>
        <v>5329.4</v>
      </c>
      <c r="AB91" s="47">
        <f t="shared" si="29"/>
        <v>3552.8</v>
      </c>
      <c r="AC91" s="47">
        <v>439.93</v>
      </c>
      <c r="AD91" s="48">
        <v>0.76554</v>
      </c>
      <c r="AF91" s="25">
        <v>1574.3</v>
      </c>
      <c r="AG91" s="21">
        <v>1598.4</v>
      </c>
      <c r="AH91" s="21">
        <v>3.6661999999999999</v>
      </c>
      <c r="AI91" s="21">
        <v>3.0802999999999998</v>
      </c>
      <c r="AJ91" s="21">
        <v>8.2806999999999995</v>
      </c>
      <c r="AK91" s="5"/>
      <c r="AL91" s="25">
        <v>2462.3000000000002</v>
      </c>
      <c r="AM91" s="21">
        <v>2619.1</v>
      </c>
      <c r="AN91" s="21">
        <v>5.3293999999999997</v>
      </c>
      <c r="AO91" s="21">
        <v>3.5528</v>
      </c>
      <c r="AP91" s="21">
        <v>12.41</v>
      </c>
      <c r="AS91" s="5"/>
      <c r="AW91" s="5"/>
    </row>
    <row r="92" spans="1:49">
      <c r="A92" s="117"/>
      <c r="B92" s="89">
        <v>148</v>
      </c>
      <c r="C92" s="85">
        <v>341.08</v>
      </c>
      <c r="D92" s="85">
        <v>607.11</v>
      </c>
      <c r="E92" s="69">
        <v>6.9868000000000003E-5</v>
      </c>
      <c r="F92" s="85">
        <f t="shared" si="20"/>
        <v>8356</v>
      </c>
      <c r="G92" s="85">
        <v>0.47969000000000001</v>
      </c>
      <c r="H92" s="69">
        <v>1.6471000000000001E-3</v>
      </c>
      <c r="I92" s="69">
        <f t="shared" si="21"/>
        <v>1578000</v>
      </c>
      <c r="J92" s="69">
        <f t="shared" si="22"/>
        <v>1602300</v>
      </c>
      <c r="K92" s="47">
        <f t="shared" si="23"/>
        <v>3672.2999999999997</v>
      </c>
      <c r="L92" s="47">
        <f t="shared" si="24"/>
        <v>3082.5</v>
      </c>
      <c r="M92" s="47">
        <v>650.16</v>
      </c>
      <c r="N92" s="69">
        <v>7.0128999999999997E-2</v>
      </c>
      <c r="O92" s="69">
        <v>5.4070999999999998E-3</v>
      </c>
      <c r="P92" s="232"/>
      <c r="Q92" s="232"/>
      <c r="R92" s="47">
        <v>148</v>
      </c>
      <c r="S92" s="47">
        <v>341.08</v>
      </c>
      <c r="T92" s="85">
        <v>94.72</v>
      </c>
      <c r="U92" s="69">
        <v>2.2595E-5</v>
      </c>
      <c r="V92" s="85">
        <f t="shared" si="25"/>
        <v>12591</v>
      </c>
      <c r="W92" s="69">
        <v>0.11681</v>
      </c>
      <c r="X92" s="69">
        <v>1.0557E-2</v>
      </c>
      <c r="Y92" s="69">
        <f t="shared" si="26"/>
        <v>2460100</v>
      </c>
      <c r="Z92" s="69">
        <f t="shared" si="27"/>
        <v>2616300</v>
      </c>
      <c r="AA92" s="47">
        <f t="shared" si="28"/>
        <v>5323.1</v>
      </c>
      <c r="AB92" s="47">
        <f t="shared" si="29"/>
        <v>3562.7</v>
      </c>
      <c r="AC92" s="47">
        <v>439.13</v>
      </c>
      <c r="AD92" s="48">
        <v>0.76144999999999996</v>
      </c>
      <c r="AF92" s="25">
        <v>1578</v>
      </c>
      <c r="AG92" s="21">
        <v>1602.3</v>
      </c>
      <c r="AH92" s="21">
        <v>3.6722999999999999</v>
      </c>
      <c r="AI92" s="21">
        <v>3.0825</v>
      </c>
      <c r="AJ92" s="21">
        <v>8.3559999999999999</v>
      </c>
      <c r="AK92" s="5"/>
      <c r="AL92" s="25">
        <v>2460.1</v>
      </c>
      <c r="AM92" s="21">
        <v>2616.3000000000002</v>
      </c>
      <c r="AN92" s="21">
        <v>5.3231000000000002</v>
      </c>
      <c r="AO92" s="21">
        <v>3.5627</v>
      </c>
      <c r="AP92" s="21">
        <v>12.590999999999999</v>
      </c>
      <c r="AS92" s="5"/>
      <c r="AW92" s="5"/>
    </row>
    <row r="93" spans="1:49">
      <c r="A93" s="117"/>
      <c r="B93" s="89">
        <v>149</v>
      </c>
      <c r="C93" s="85">
        <v>341.62</v>
      </c>
      <c r="D93" s="85">
        <v>605.32000000000005</v>
      </c>
      <c r="E93" s="69">
        <v>6.9635000000000007E-5</v>
      </c>
      <c r="F93" s="85">
        <f t="shared" si="20"/>
        <v>8433.5</v>
      </c>
      <c r="G93" s="85">
        <v>0.47855999999999999</v>
      </c>
      <c r="H93" s="69">
        <v>1.652E-3</v>
      </c>
      <c r="I93" s="69">
        <f t="shared" si="21"/>
        <v>1581700</v>
      </c>
      <c r="J93" s="69">
        <f t="shared" si="22"/>
        <v>1606300</v>
      </c>
      <c r="K93" s="47">
        <f t="shared" si="23"/>
        <v>3678.4</v>
      </c>
      <c r="L93" s="47">
        <f t="shared" si="24"/>
        <v>3084.9</v>
      </c>
      <c r="M93" s="47">
        <v>646.08000000000004</v>
      </c>
      <c r="N93" s="69">
        <v>7.1315000000000003E-2</v>
      </c>
      <c r="O93" s="69">
        <v>5.2988999999999996E-3</v>
      </c>
      <c r="P93" s="232"/>
      <c r="Q93" s="232"/>
      <c r="R93" s="47">
        <v>149</v>
      </c>
      <c r="S93" s="47">
        <v>341.62</v>
      </c>
      <c r="T93" s="85">
        <v>95.718000000000004</v>
      </c>
      <c r="U93" s="69">
        <v>2.2654999999999999E-5</v>
      </c>
      <c r="V93" s="85">
        <f t="shared" si="25"/>
        <v>12776</v>
      </c>
      <c r="W93" s="69">
        <v>0.11799</v>
      </c>
      <c r="X93" s="69">
        <v>1.0447E-2</v>
      </c>
      <c r="Y93" s="69">
        <f t="shared" si="26"/>
        <v>2457900</v>
      </c>
      <c r="Z93" s="69">
        <f t="shared" si="27"/>
        <v>2613500</v>
      </c>
      <c r="AA93" s="47">
        <f t="shared" si="28"/>
        <v>5316.9000000000005</v>
      </c>
      <c r="AB93" s="47">
        <f t="shared" si="29"/>
        <v>3572.6</v>
      </c>
      <c r="AC93" s="47">
        <v>438.33</v>
      </c>
      <c r="AD93" s="48">
        <v>0.75738000000000005</v>
      </c>
      <c r="AF93" s="25">
        <v>1581.7</v>
      </c>
      <c r="AG93" s="21">
        <v>1606.3</v>
      </c>
      <c r="AH93" s="21">
        <v>3.6783999999999999</v>
      </c>
      <c r="AI93" s="21">
        <v>3.0849000000000002</v>
      </c>
      <c r="AJ93" s="21">
        <v>8.4335000000000004</v>
      </c>
      <c r="AK93" s="5"/>
      <c r="AL93" s="25">
        <v>2457.9</v>
      </c>
      <c r="AM93" s="21">
        <v>2613.5</v>
      </c>
      <c r="AN93" s="21">
        <v>5.3169000000000004</v>
      </c>
      <c r="AO93" s="21">
        <v>3.5726</v>
      </c>
      <c r="AP93" s="21">
        <v>12.776</v>
      </c>
      <c r="AS93" s="5"/>
      <c r="AW93" s="5"/>
    </row>
    <row r="94" spans="1:49" ht="15.75" thickBot="1">
      <c r="A94" s="117"/>
      <c r="B94" s="234">
        <v>150</v>
      </c>
      <c r="C94" s="198">
        <v>342.16</v>
      </c>
      <c r="D94" s="198">
        <v>603.52</v>
      </c>
      <c r="E94" s="121">
        <v>6.9402999999999999E-5</v>
      </c>
      <c r="F94" s="198">
        <f t="shared" si="20"/>
        <v>8513.1999999999989</v>
      </c>
      <c r="G94" s="198">
        <v>0.47743999999999998</v>
      </c>
      <c r="H94" s="121">
        <v>1.6570000000000001E-3</v>
      </c>
      <c r="I94" s="121">
        <f t="shared" si="21"/>
        <v>1585300</v>
      </c>
      <c r="J94" s="121">
        <f t="shared" si="22"/>
        <v>1610200</v>
      </c>
      <c r="K94" s="58">
        <f t="shared" si="23"/>
        <v>3684.6</v>
      </c>
      <c r="L94" s="58">
        <f t="shared" si="24"/>
        <v>3087.2999999999997</v>
      </c>
      <c r="M94" s="58">
        <v>642</v>
      </c>
      <c r="N94" s="121">
        <v>7.2523000000000004E-2</v>
      </c>
      <c r="O94" s="121">
        <v>5.1916999999999996E-3</v>
      </c>
      <c r="P94" s="233"/>
      <c r="Q94" s="233"/>
      <c r="R94" s="58">
        <v>150</v>
      </c>
      <c r="S94" s="58">
        <v>342.16</v>
      </c>
      <c r="T94" s="198">
        <v>96.727000000000004</v>
      </c>
      <c r="U94" s="121">
        <v>2.2716000000000001E-5</v>
      </c>
      <c r="V94" s="198">
        <f t="shared" si="25"/>
        <v>12967</v>
      </c>
      <c r="W94" s="121">
        <v>0.11919</v>
      </c>
      <c r="X94" s="121">
        <v>1.0338E-2</v>
      </c>
      <c r="Y94" s="121">
        <f t="shared" si="26"/>
        <v>2455600</v>
      </c>
      <c r="Z94" s="121">
        <f t="shared" si="27"/>
        <v>2610700</v>
      </c>
      <c r="AA94" s="58">
        <f t="shared" si="28"/>
        <v>5310.6</v>
      </c>
      <c r="AB94" s="58">
        <f t="shared" si="29"/>
        <v>3582.6</v>
      </c>
      <c r="AC94" s="58">
        <v>437.53</v>
      </c>
      <c r="AD94" s="59">
        <v>0.75333000000000006</v>
      </c>
      <c r="AF94" s="25">
        <v>1585.3</v>
      </c>
      <c r="AG94" s="21">
        <v>1610.2</v>
      </c>
      <c r="AH94" s="21">
        <v>3.6846000000000001</v>
      </c>
      <c r="AI94" s="21">
        <v>3.0872999999999999</v>
      </c>
      <c r="AJ94" s="21">
        <v>8.5131999999999994</v>
      </c>
      <c r="AK94" s="5"/>
      <c r="AL94" s="25">
        <v>2455.6</v>
      </c>
      <c r="AM94" s="21">
        <v>2610.6999999999998</v>
      </c>
      <c r="AN94" s="21">
        <v>5.3106</v>
      </c>
      <c r="AO94" s="21">
        <v>3.5825999999999998</v>
      </c>
      <c r="AP94" s="21">
        <v>12.967000000000001</v>
      </c>
      <c r="AS94" s="5"/>
      <c r="AW94" s="5"/>
    </row>
    <row r="95" spans="1:49" ht="15.75" thickBot="1">
      <c r="A95" s="117"/>
      <c r="B95" s="117"/>
      <c r="C95" s="8"/>
      <c r="D95" s="8"/>
      <c r="E95" s="118"/>
      <c r="F95" s="8"/>
      <c r="G95" s="8"/>
      <c r="H95" s="117"/>
      <c r="I95" s="117"/>
      <c r="J95" s="117"/>
      <c r="K95" s="117"/>
      <c r="L95" s="117"/>
      <c r="M95" s="117"/>
      <c r="N95" s="117"/>
      <c r="O95" s="117"/>
      <c r="AK95" s="5"/>
      <c r="AS95" s="5"/>
      <c r="AW95" s="5"/>
    </row>
    <row r="96" spans="1:49" ht="15.75" thickBot="1">
      <c r="A96" s="122" t="s">
        <v>275</v>
      </c>
      <c r="B96" s="123">
        <f>CM!E65</f>
        <v>120</v>
      </c>
      <c r="C96" s="235" cm="1">
        <f t="array" ref="C96">IFERROR(
   IF(
      AND($B$96 &gt;= MIN($B$4:$B$94), $B$96 &lt;= MAX($B$4:$B$94)),
      INDEX(C4:C94, MATCH($B$96, $B$4:$B$94, 1)) +
      ($B$96 - INDEX($B$4:$B$94, MATCH($B$96, $B$4:$B$94, 1))) *
      (INDEX(C4:C94, MATCH($B$96, $B$4:$B$94, 1) + 1) - INDEX(C4:C94, MATCH($B$96, $B$4:$B$94, 1))) /
      (INDEX($B$4:$B$94, MATCH($B$96, $B$4:$B$94, 1) + 1) - INDEX($B$4:$B$94, MATCH($B$96, $B$4:$B$94, 1))),
      "Out of Range"
   ),
   "Out of Range"
)</f>
        <v>324.68</v>
      </c>
      <c r="D96" s="235" cm="1">
        <f t="array" ref="D96">IFERROR(
   IF(
      AND($B$96 &gt;= MIN($B$4:$B$94), $B$96 &lt;= MAX($B$4:$B$94)),
      INDEX(D4:D94, MATCH($B$96, $B$4:$B$94, 1)) +
      ($B$96 - INDEX($B$4:$B$94, MATCH($B$96, $B$4:$B$94, 1))) *
      (INDEX(D4:D94, MATCH($B$96, $B$4:$B$94, 1) + 1) - INDEX(D4:D94, MATCH($B$96, $B$4:$B$94, 1))) /
      (INDEX($B$4:$B$94, MATCH($B$96, $B$4:$B$94, 1) + 1) - INDEX($B$4:$B$94, MATCH($B$96, $B$4:$B$94, 1))),
      "Out of Range"
   ),
   "Out of Range"
)</f>
        <v>655.17999999999995</v>
      </c>
      <c r="E96" s="125" cm="1">
        <f t="array" ref="E96">IFERROR(
   IF(
      AND($B$96 &gt;= MIN($B$4:$B$94), $B$96 &lt;= MAX($B$4:$B$94)),
      INDEX(E4:E94, MATCH($B$96, $B$4:$B$94, 1)) +
      ($B$96 - INDEX($B$4:$B$94, MATCH($B$96, $B$4:$B$94, 1))) *
      (INDEX(E4:E94, MATCH($B$96, $B$4:$B$94, 1) + 1) - INDEX(E4:E94, MATCH($B$96, $B$4:$B$94, 1))) /
      (INDEX($B$4:$B$94, MATCH($B$96, $B$4:$B$94, 1) + 1) - INDEX($B$4:$B$94, MATCH($B$96, $B$4:$B$94, 1))),
      "Out of Range"
   ),
   "Out of Range"
)</f>
        <v>7.6513000000000004E-5</v>
      </c>
      <c r="F96" s="235" cm="1">
        <f t="array" ref="F96">IFERROR(
   IF(
      AND($B$96 &gt;= MIN($B$4:$B$94), $B$96 &lt;= MAX($B$4:$B$94)),
      INDEX(F4:F94, MATCH($B$96, $B$4:$B$94, 1)) +
      ($B$96 - INDEX($B$4:$B$94, MATCH($B$96, $B$4:$B$94, 1))) *
      (INDEX(F4:F94, MATCH($B$96, $B$4:$B$94, 1) + 1) - INDEX(F4:F94, MATCH($B$96, $B$4:$B$94, 1))) /
      (INDEX($B$4:$B$94, MATCH($B$96, $B$4:$B$94, 1) + 1) - INDEX($B$4:$B$94, MATCH($B$96, $B$4:$B$94, 1))),
      "Out of Range"
   ),
   "Out of Range"
)</f>
        <v>6809.1</v>
      </c>
      <c r="G96" s="235" cm="1">
        <f t="array" ref="G96">IFERROR(
   IF(
      AND($B$96 &gt;= MIN($B$4:$B$94), $B$96 &lt;= MAX($B$4:$B$94)),
      INDEX(G4:G94, MATCH($B$96, $B$4:$B$94, 1)) +
      ($B$96 - INDEX($B$4:$B$94, MATCH($B$96, $B$4:$B$94, 1))) *
      (INDEX(G4:G94, MATCH($B$96, $B$4:$B$94, 1) + 1) - INDEX(G4:G94, MATCH($B$96, $B$4:$B$94, 1))) /
      (INDEX($B$4:$B$94, MATCH($B$96, $B$4:$B$94, 1) + 1) - INDEX($B$4:$B$94, MATCH($B$96, $B$4:$B$94, 1))),
      "Out of Range"
   ),
   "Out of Range"
)</f>
        <v>0.51166999999999996</v>
      </c>
      <c r="H96" s="125" cm="1">
        <f t="array" ref="H96">IFERROR(
   IF(
      AND($B$96 &gt;= MIN($B$4:$B$94), $B$96 &lt;= MAX($B$4:$B$94)),
      INDEX(H4:H94, MATCH($B$96, $B$4:$B$94, 1)) +
      ($B$96 - INDEX($B$4:$B$94, MATCH($B$96, $B$4:$B$94, 1))) *
      (INDEX(H4:H94, MATCH($B$96, $B$4:$B$94, 1) + 1) - INDEX(H4:H94, MATCH($B$96, $B$4:$B$94, 1))) /
      (INDEX($B$4:$B$94, MATCH($B$96, $B$4:$B$94, 1) + 1) - INDEX($B$4:$B$94, MATCH($B$96, $B$4:$B$94, 1))),
      "Out of Range"
   ),
   "Out of Range"
)</f>
        <v>1.5263E-3</v>
      </c>
      <c r="I96" s="125" cm="1">
        <f t="array" ref="I96">IFERROR(
   IF(
      AND($B$96 &gt;= MIN($B$4:$B$94), $B$96 &lt;= MAX($B$4:$B$94)),
      INDEX(I4:I94, MATCH($B$96, $B$4:$B$94, 1)) +
      ($B$96 - INDEX($B$4:$B$94, MATCH($B$96, $B$4:$B$94, 1))) *
      (INDEX(I4:I94, MATCH($B$96, $B$4:$B$94, 1) + 1) - INDEX(I4:I94, MATCH($B$96, $B$4:$B$94, 1))) /
      (INDEX($B$4:$B$94, MATCH($B$96, $B$4:$B$94, 1) + 1) - INDEX($B$4:$B$94, MATCH($B$96, $B$4:$B$94, 1))),
      "Out of Range"
   ),
   "Out of Range"
)</f>
        <v>1473100</v>
      </c>
      <c r="J96" s="125" cm="1">
        <f t="array" ref="J96">IFERROR(
   IF(
      AND($B$96 &gt;= MIN($B$4:$B$94), $B$96 &lt;= MAX($B$4:$B$94)),
      INDEX(J4:J94, MATCH($B$96, $B$4:$B$94, 1)) +
      ($B$96 - INDEX($B$4:$B$94, MATCH($B$96, $B$4:$B$94, 1))) *
      (INDEX(J4:J94, MATCH($B$96, $B$4:$B$94, 1) + 1) - INDEX(J4:J94, MATCH($B$96, $B$4:$B$94, 1))) /
      (INDEX($B$4:$B$94, MATCH($B$96, $B$4:$B$94, 1) + 1) - INDEX($B$4:$B$94, MATCH($B$96, $B$4:$B$94, 1))),
      "Out of Range"
   ),
   "Out of Range"
)</f>
        <v>1491500</v>
      </c>
      <c r="K96" s="124" cm="1">
        <f t="array" ref="K96">IFERROR(
   IF(
      AND($B$96 &gt;= MIN($B$4:$B$94), $B$96 &lt;= MAX($B$4:$B$94)),
      INDEX(K4:K94, MATCH($B$96, $B$4:$B$94, 1)) +
      ($B$96 - INDEX($B$4:$B$94, MATCH($B$96, $B$4:$B$94, 1))) *
      (INDEX(K4:K94, MATCH($B$96, $B$4:$B$94, 1) + 1) - INDEX(K4:K94, MATCH($B$96, $B$4:$B$94, 1))) /
      (INDEX($B$4:$B$94, MATCH($B$96, $B$4:$B$94, 1) + 1) - INDEX($B$4:$B$94, MATCH($B$96, $B$4:$B$94, 1))),
      "Out of Range"
   ),
   "Out of Range"
)</f>
        <v>3496.7000000000003</v>
      </c>
      <c r="L96" s="124" cm="1">
        <f t="array" ref="L96">IFERROR(
   IF(
      AND($B$96 &gt;= MIN($B$4:$B$94), $B$96 &lt;= MAX($B$4:$B$94)),
      INDEX(L4:L94, MATCH($B$96, $B$4:$B$94, 1)) +
      ($B$96 - INDEX($B$4:$B$94, MATCH($B$96, $B$4:$B$94, 1))) *
      (INDEX(L4:L94, MATCH($B$96, $B$4:$B$94, 1) + 1) - INDEX(L4:L94, MATCH($B$96, $B$4:$B$94, 1))) /
      (INDEX($B$4:$B$94, MATCH($B$96, $B$4:$B$94, 1) + 1) - INDEX($B$4:$B$94, MATCH($B$96, $B$4:$B$94, 1))),
      "Out of Range"
   ),
   "Out of Range"
)</f>
        <v>3045.4</v>
      </c>
      <c r="M96" s="124" cm="1">
        <f t="array" ref="M96">IFERROR(
   IF(
      AND($B$96 &gt;= MIN($B$4:$B$94), $B$96 &lt;= MAX($B$4:$B$94)),
      INDEX(M4:M94, MATCH($B$96, $B$4:$B$94, 1)) +
      ($B$96 - INDEX($B$4:$B$94, MATCH($B$96, $B$4:$B$94, 1))) *
      (INDEX(M4:M94, MATCH($B$96, $B$4:$B$94, 1) + 1) - INDEX(M4:M94, MATCH($B$96, $B$4:$B$94, 1))) /
      (INDEX($B$4:$B$94, MATCH($B$96, $B$4:$B$94, 1) + 1) - INDEX($B$4:$B$94, MATCH($B$96, $B$4:$B$94, 1))),
      "Out of Range"
   ),
   "Out of Range"
)</f>
        <v>763.65</v>
      </c>
      <c r="N96" s="125" cm="1">
        <f t="array" ref="N96">IFERROR(
   IF(
      AND($B$96 &gt;= MIN($B$4:$B$94), $B$96 &lt;= MAX($B$4:$B$94)),
      INDEX(N4:N94, MATCH($B$96, $B$4:$B$94, 1)) +
      ($B$96 - INDEX($B$4:$B$94, MATCH($B$96, $B$4:$B$94, 1))) *
      (INDEX(N4:N94, MATCH($B$96, $B$4:$B$94, 1) + 1) - INDEX(N4:N94, MATCH($B$96, $B$4:$B$94, 1))) /
      (INDEX($B$4:$B$94, MATCH($B$96, $B$4:$B$94, 1) + 1) - INDEX($B$4:$B$94, MATCH($B$96, $B$4:$B$94, 1))),
      "Out of Range"
   ),
   "Out of Range"
)</f>
        <v>4.3422000000000002E-2</v>
      </c>
      <c r="O96" s="126" cm="1">
        <f t="array" ref="O96">IFERROR(
   IF(
      AND($B$96 &gt;= MIN($B$4:$B$94), $B$96 &lt;= MAX($B$4:$B$94)),
      INDEX(O4:O94, MATCH($B$96, $B$4:$B$94, 1)) +
      ($B$96 - INDEX($B$4:$B$94, MATCH($B$96, $B$4:$B$94, 1))) *
      (INDEX(O4:O94, MATCH($B$96, $B$4:$B$94, 1) + 1) - INDEX(O4:O94, MATCH($B$96, $B$4:$B$94, 1))) /
      (INDEX($B$4:$B$94, MATCH($B$96, $B$4:$B$94, 1) + 1) - INDEX($B$4:$B$94, MATCH($B$96, $B$4:$B$94, 1))),
      "Out of Range"
   ),
   "Out of Range"
)</f>
        <v>8.8447000000000005E-3</v>
      </c>
      <c r="P96" s="16"/>
      <c r="Q96" s="129" t="s">
        <v>274</v>
      </c>
      <c r="R96" s="124" cm="1">
        <f t="array" ref="R96">IFERROR(
   IF(
      AND($B$96 &gt;= MIN($B$4:$B$94), $B$96 &lt;= MAX($B$4:$B$94)),
      INDEX(R4:R94, MATCH($B$96, $B$4:$B$94, 1)) +
      ($B$96 - INDEX($B$4:$B$94, MATCH($B$96, $B$4:$B$94, 1))) *
      (INDEX(R4:R94, MATCH($B$96, $B$4:$B$94, 1) + 1) - INDEX(R4:R94, MATCH($B$96, $B$4:$B$94, 1))) /
      (INDEX($B$4:$B$94, MATCH($B$96, $B$4:$B$94, 1) + 1) - INDEX($B$4:$B$94, MATCH($B$96, $B$4:$B$94, 1))),
      "Out of Range"
   ),
   "Out of Range"
)</f>
        <v>120</v>
      </c>
      <c r="S96" s="124" cm="1">
        <f t="array" ref="S96">IFERROR(
   IF(
      AND($B$96 &gt;= MIN($B$4:$B$94), $B$96 &lt;= MAX($B$4:$B$94)),
      INDEX(S4:S94, MATCH($B$96, $B$4:$B$94, 1)) +
      ($B$96 - INDEX($B$4:$B$94, MATCH($B$96, $B$4:$B$94, 1))) *
      (INDEX(S4:S94, MATCH($B$96, $B$4:$B$94, 1) + 1) - INDEX(S4:S94, MATCH($B$96, $B$4:$B$94, 1))) /
      (INDEX($B$4:$B$94, MATCH($B$96, $B$4:$B$94, 1) + 1) - INDEX($B$4:$B$94, MATCH($B$96, $B$4:$B$94, 1))),
      "Out of Range"
   ),
   "Out of Range"
)</f>
        <v>324.68</v>
      </c>
      <c r="T96" s="235" cm="1">
        <f t="array" ref="T96">IFERROR(
   IF(
      AND($B$96 &gt;= MIN($B$4:$B$94), $B$96 &lt;= MAX($B$4:$B$94)),
      INDEX(T4:T94, MATCH($B$96, $B$4:$B$94, 1)) +
      ($B$96 - INDEX($B$4:$B$94, MATCH($B$96, $B$4:$B$94, 1))) *
      (INDEX(T4:T94, MATCH($B$96, $B$4:$B$94, 1) + 1) - INDEX(T4:T94, MATCH($B$96, $B$4:$B$94, 1))) /
      (INDEX($B$4:$B$94, MATCH($B$96, $B$4:$B$94, 1) + 1) - INDEX($B$4:$B$94, MATCH($B$96, $B$4:$B$94, 1))),
      "Out of Range"
   ),
   "Out of Range"
)</f>
        <v>70.105999999999995</v>
      </c>
      <c r="U96" s="125" cm="1">
        <f t="array" ref="U96">IFERROR(
   IF(
      AND($B$96 &gt;= MIN($B$4:$B$94), $B$96 &lt;= MAX($B$4:$B$94)),
      INDEX(U4:U94, MATCH($B$96, $B$4:$B$94, 1)) +
      ($B$96 - INDEX($B$4:$B$94, MATCH($B$96, $B$4:$B$94, 1))) *
      (INDEX(U4:U94, MATCH($B$96, $B$4:$B$94, 1) + 1) - INDEX(U4:U94, MATCH($B$96, $B$4:$B$94, 1))) /
      (INDEX($B$4:$B$94, MATCH($B$96, $B$4:$B$94, 1) + 1) - INDEX($B$4:$B$94, MATCH($B$96, $B$4:$B$94, 1))),
      "Out of Range"
   ),
   "Out of Range"
)</f>
        <v>2.1109000000000001E-5</v>
      </c>
      <c r="V96" s="235" cm="1">
        <f t="array" ref="V96">IFERROR(
   IF(
      AND($B$96 &gt;= MIN($B$4:$B$94), $B$96 &lt;= MAX($B$4:$B$94)),
      INDEX(V4:V94, MATCH($B$96, $B$4:$B$94, 1)) +
      ($B$96 - INDEX($B$4:$B$94, MATCH($B$96, $B$4:$B$94, 1))) *
      (INDEX(V4:V94, MATCH($B$96, $B$4:$B$94, 1) + 1) - INDEX(V4:V94, MATCH($B$96, $B$4:$B$94, 1))) /
      (INDEX($B$4:$B$94, MATCH($B$96, $B$4:$B$94, 1) + 1) - INDEX($B$4:$B$94, MATCH($B$96, $B$4:$B$94, 1))),
      "Out of Range"
   ),
   "Out of Range"
)</f>
        <v>8827</v>
      </c>
      <c r="W96" s="125" cm="1">
        <f t="array" ref="W96">IFERROR(
   IF(
      AND($B$96 &gt;= MIN($B$4:$B$94), $B$96 &lt;= MAX($B$4:$B$94)),
      INDEX(W4:W94, MATCH($B$96, $B$4:$B$94, 1)) +
      ($B$96 - INDEX($B$4:$B$94, MATCH($B$96, $B$4:$B$94, 1))) *
      (INDEX(W4:W94, MATCH($B$96, $B$4:$B$94, 1) + 1) - INDEX(W4:W94, MATCH($B$96, $B$4:$B$94, 1))) /
      (INDEX($B$4:$B$94, MATCH($B$96, $B$4:$B$94, 1) + 1) - INDEX($B$4:$B$94, MATCH($B$96, $B$4:$B$94, 1))),
      "Out of Range"
   ),
   "Out of Range"
)</f>
        <v>9.1097999999999998E-2</v>
      </c>
      <c r="X96" s="125" cm="1">
        <f t="array" ref="X96">IFERROR(
   IF(
      AND($B$96 &gt;= MIN($B$4:$B$94), $B$96 &lt;= MAX($B$4:$B$94)),
      INDEX(X4:X94, MATCH($B$96, $B$4:$B$94, 1)) +
      ($B$96 - INDEX($B$4:$B$94, MATCH($B$96, $B$4:$B$94, 1))) *
      (INDEX(X4:X94, MATCH($B$96, $B$4:$B$94, 1) + 1) - INDEX(X4:X94, MATCH($B$96, $B$4:$B$94, 1))) /
      (INDEX($B$4:$B$94, MATCH($B$96, $B$4:$B$94, 1) + 1) - INDEX($B$4:$B$94, MATCH($B$96, $B$4:$B$94, 1))),
      "Out of Range"
   ),
   "Out of Range"
)</f>
        <v>1.4264000000000001E-2</v>
      </c>
      <c r="Y96" s="125" cm="1">
        <f t="array" ref="Y96">IFERROR(
   IF(
      AND($B$96 &gt;= MIN($B$4:$B$94), $B$96 &lt;= MAX($B$4:$B$94)),
      INDEX(Y4:Y94, MATCH($B$96, $B$4:$B$94, 1)) +
      ($B$96 - INDEX($B$4:$B$94, MATCH($B$96, $B$4:$B$94, 1))) *
      (INDEX(Y4:Y94, MATCH($B$96, $B$4:$B$94, 1) + 1) - INDEX(Y4:Y94, MATCH($B$96, $B$4:$B$94, 1))) /
      (INDEX($B$4:$B$94, MATCH($B$96, $B$4:$B$94, 1) + 1) - INDEX($B$4:$B$94, MATCH($B$96, $B$4:$B$94, 1))),
      "Out of Range"
   ),
   "Out of Range"
)</f>
        <v>2514300</v>
      </c>
      <c r="Z96" s="125" cm="1">
        <f t="array" ref="Z96">IFERROR(
   IF(
      AND($B$96 &gt;= MIN($B$4:$B$94), $B$96 &lt;= MAX($B$4:$B$94)),
      INDEX(Z4:Z94, MATCH($B$96, $B$4:$B$94, 1)) +
      ($B$96 - INDEX($B$4:$B$94, MATCH($B$96, $B$4:$B$94, 1))) *
      (INDEX(Z4:Z94, MATCH($B$96, $B$4:$B$94, 1) + 1) - INDEX(Z4:Z94, MATCH($B$96, $B$4:$B$94, 1))) /
      (INDEX($B$4:$B$94, MATCH($B$96, $B$4:$B$94, 1) + 1) - INDEX($B$4:$B$94, MATCH($B$96, $B$4:$B$94, 1))),
      "Out of Range"
   ),
   "Out of Range"
)</f>
        <v>2685400</v>
      </c>
      <c r="AA96" s="124" cm="1">
        <f t="array" ref="AA96">IFERROR(
   IF(
      AND($B$96 &gt;= MIN($B$4:$B$94), $B$96 &lt;= MAX($B$4:$B$94)),
      INDEX(AA4:AA94, MATCH($B$96, $B$4:$B$94, 1)) +
      ($B$96 - INDEX($B$4:$B$94, MATCH($B$96, $B$4:$B$94, 1))) *
      (INDEX(AA4:AA94, MATCH($B$96, $B$4:$B$94, 1) + 1) - INDEX(AA4:AA94, MATCH($B$96, $B$4:$B$94, 1))) /
      (INDEX($B$4:$B$94, MATCH($B$96, $B$4:$B$94, 1) + 1) - INDEX($B$4:$B$94, MATCH($B$96, $B$4:$B$94, 1))),
      "Out of Range"
   ),
   "Out of Range"
)</f>
        <v>5493.9</v>
      </c>
      <c r="AB96" s="124" cm="1">
        <f t="array" ref="AB96">IFERROR(
   IF(
      AND($B$96 &gt;= MIN($B$4:$B$94), $B$96 &lt;= MAX($B$4:$B$94)),
      INDEX(AB4:AB94, MATCH($B$96, $B$4:$B$94, 1)) +
      ($B$96 - INDEX($B$4:$B$94, MATCH($B$96, $B$4:$B$94, 1))) *
      (INDEX(AB4:AB94, MATCH($B$96, $B$4:$B$94, 1) + 1) - INDEX(AB4:AB94, MATCH($B$96, $B$4:$B$94, 1))) /
      (INDEX($B$4:$B$94, MATCH($B$96, $B$4:$B$94, 1) + 1) - INDEX($B$4:$B$94, MATCH($B$96, $B$4:$B$94, 1))),
      "Out of Range"
   ),
   "Out of Range"
)</f>
        <v>3294.7000000000003</v>
      </c>
      <c r="AC96" s="124" cm="1">
        <f t="array" ref="AC96">IFERROR(
   IF(
      AND($B$96 &gt;= MIN($B$4:$B$94), $B$96 &lt;= MAX($B$4:$B$94)),
      INDEX(AC4:AC94, MATCH($B$96, $B$4:$B$94, 1)) +
      ($B$96 - INDEX($B$4:$B$94, MATCH($B$96, $B$4:$B$94, 1))) *
      (INDEX(AC4:AC94, MATCH($B$96, $B$4:$B$94, 1) + 1) - INDEX(AC4:AC94, MATCH($B$96, $B$4:$B$94, 1))) /
      (INDEX($B$4:$B$94, MATCH($B$96, $B$4:$B$94, 1) + 1) - INDEX($B$4:$B$94, MATCH($B$96, $B$4:$B$94, 1))),
      "Out of Range"
   ),
   "Out of Range"
)</f>
        <v>459.68</v>
      </c>
      <c r="AD96" s="99" cm="1">
        <f t="array" ref="AD96">IFERROR(
   IF(
      AND($B$96 &gt;= MIN($B$4:$B$94), $B$96 &lt;= MAX($B$4:$B$94)),
      INDEX(AD4:AD94, MATCH($B$96, $B$4:$B$94, 1)) +
      ($B$96 - INDEX($B$4:$B$94, MATCH($B$96, $B$4:$B$94, 1))) *
      (INDEX(AD4:AD94, MATCH($B$96, $B$4:$B$94, 1) + 1) - INDEX(AD4:AD94, MATCH($B$96, $B$4:$B$94, 1))) /
      (INDEX($B$4:$B$94, MATCH($B$96, $B$4:$B$94, 1) + 1) - INDEX($B$4:$B$94, MATCH($B$96, $B$4:$B$94, 1))),
      "Out of Range"
   ),
   "Out of Range"
)</f>
        <v>0.88483999999999996</v>
      </c>
      <c r="AF96" s="9" cm="1">
        <f t="array" ref="AF96">IFERROR(
   IF(
      AND($B$96 &gt;= MIN($B$4:$B$94), $B$96 &lt;= MAX($B$4:$B$94)),
      INDEX(AF4:AF94, MATCH($B$96, $B$4:$B$94, 1)) +
      ($B$96 - INDEX($B$4:$B$94, MATCH($B$96, $B$4:$B$94, 1))) *
      (INDEX(AF4:AF94, MATCH($B$96, $B$4:$B$94, 1) + 1) - INDEX(AF4:AF94, MATCH($B$96, $B$4:$B$94, 1))) /
      (INDEX($B$4:$B$94, MATCH($B$96, $B$4:$B$94, 1) + 1) - INDEX($B$4:$B$94, MATCH($B$96, $B$4:$B$94, 1))),
      "Out of Range"
   ),
   "Out of Range"
)</f>
        <v>1473.1</v>
      </c>
      <c r="AG96" s="15" cm="1">
        <f t="array" ref="AG96">IFERROR(
   IF(
      AND($B$96 &gt;= MIN($B$4:$B$94), $B$96 &lt;= MAX($B$4:$B$94)),
      INDEX(AG4:AG94, MATCH($B$96, $B$4:$B$94, 1)) +
      ($B$96 - INDEX($B$4:$B$94, MATCH($B$96, $B$4:$B$94, 1))) *
      (INDEX(AG4:AG94, MATCH($B$96, $B$4:$B$94, 1) + 1) - INDEX(AG4:AG94, MATCH($B$96, $B$4:$B$94, 1))) /
      (INDEX($B$4:$B$94, MATCH($B$96, $B$4:$B$94, 1) + 1) - INDEX($B$4:$B$94, MATCH($B$96, $B$4:$B$94, 1))),
      "Out of Range"
   ),
   "Out of Range"
)</f>
        <v>1491.5</v>
      </c>
      <c r="AH96" s="15" cm="1">
        <f t="array" ref="AH96">IFERROR(
   IF(
      AND($B$96 &gt;= MIN($B$4:$B$94), $B$96 &lt;= MAX($B$4:$B$94)),
      INDEX(AH4:AH94, MATCH($B$96, $B$4:$B$94, 1)) +
      ($B$96 - INDEX($B$4:$B$94, MATCH($B$96, $B$4:$B$94, 1))) *
      (INDEX(AH4:AH94, MATCH($B$96, $B$4:$B$94, 1) + 1) - INDEX(AH4:AH94, MATCH($B$96, $B$4:$B$94, 1))) /
      (INDEX($B$4:$B$94, MATCH($B$96, $B$4:$B$94, 1) + 1) - INDEX($B$4:$B$94, MATCH($B$96, $B$4:$B$94, 1))),
      "Out of Range"
   ),
   "Out of Range"
)</f>
        <v>3.4967000000000001</v>
      </c>
      <c r="AI96" s="15" cm="1">
        <f t="array" ref="AI96">IFERROR(
   IF(
      AND($B$96 &gt;= MIN($B$4:$B$94), $B$96 &lt;= MAX($B$4:$B$94)),
      INDEX(AI4:AI94, MATCH($B$96, $B$4:$B$94, 1)) +
      ($B$96 - INDEX($B$4:$B$94, MATCH($B$96, $B$4:$B$94, 1))) *
      (INDEX(AI4:AI94, MATCH($B$96, $B$4:$B$94, 1) + 1) - INDEX(AI4:AI94, MATCH($B$96, $B$4:$B$94, 1))) /
      (INDEX($B$4:$B$94, MATCH($B$96, $B$4:$B$94, 1) + 1) - INDEX($B$4:$B$94, MATCH($B$96, $B$4:$B$94, 1))),
      "Out of Range"
   ),
   "Out of Range"
)</f>
        <v>3.0453999999999999</v>
      </c>
      <c r="AJ96" s="15" cm="1">
        <f t="array" ref="AJ96">IFERROR(
   IF(
      AND($B$96 &gt;= MIN($B$4:$B$94), $B$96 &lt;= MAX($B$4:$B$94)),
      INDEX(AJ4:AJ94, MATCH($B$96, $B$4:$B$94, 1)) +
      ($B$96 - INDEX($B$4:$B$94, MATCH($B$96, $B$4:$B$94, 1))) *
      (INDEX(AJ4:AJ94, MATCH($B$96, $B$4:$B$94, 1) + 1) - INDEX(AJ4:AJ94, MATCH($B$96, $B$4:$B$94, 1))) /
      (INDEX($B$4:$B$94, MATCH($B$96, $B$4:$B$94, 1) + 1) - INDEX($B$4:$B$94, MATCH($B$96, $B$4:$B$94, 1))),
      "Out of Range"
   ),
   "Out of Range"
)</f>
        <v>6.8090999999999999</v>
      </c>
      <c r="AK96" s="5"/>
      <c r="AL96" s="9" cm="1">
        <f t="array" ref="AL96">IFERROR(
   IF(
      AND($B$96 &gt;= MIN($B$4:$B$94), $B$96 &lt;= MAX($B$4:$B$94)),
      INDEX(AL4:AL94, MATCH($B$96, $B$4:$B$94, 1)) +
      ($B$96 - INDEX($B$4:$B$94, MATCH($B$96, $B$4:$B$94, 1))) *
      (INDEX(AL4:AL94, MATCH($B$96, $B$4:$B$94, 1) + 1) - INDEX(AL4:AL94, MATCH($B$96, $B$4:$B$94, 1))) /
      (INDEX($B$4:$B$94, MATCH($B$96, $B$4:$B$94, 1) + 1) - INDEX($B$4:$B$94, MATCH($B$96, $B$4:$B$94, 1))),
      "Out of Range"
   ),
   "Out of Range"
)</f>
        <v>2514.3000000000002</v>
      </c>
      <c r="AM96" s="15" cm="1">
        <f t="array" ref="AM96">IFERROR(
   IF(
      AND($B$96 &gt;= MIN($B$4:$B$94), $B$96 &lt;= MAX($B$4:$B$94)),
      INDEX(AM4:AM94, MATCH($B$96, $B$4:$B$94, 1)) +
      ($B$96 - INDEX($B$4:$B$94, MATCH($B$96, $B$4:$B$94, 1))) *
      (INDEX(AM4:AM94, MATCH($B$96, $B$4:$B$94, 1) + 1) - INDEX(AM4:AM94, MATCH($B$96, $B$4:$B$94, 1))) /
      (INDEX($B$4:$B$94, MATCH($B$96, $B$4:$B$94, 1) + 1) - INDEX($B$4:$B$94, MATCH($B$96, $B$4:$B$94, 1))),
      "Out of Range"
   ),
   "Out of Range"
)</f>
        <v>2685.4</v>
      </c>
      <c r="AN96" s="15" cm="1">
        <f t="array" ref="AN96">IFERROR(
   IF(
      AND($B$96 &gt;= MIN($B$4:$B$94), $B$96 &lt;= MAX($B$4:$B$94)),
      INDEX(AN4:AN94, MATCH($B$96, $B$4:$B$94, 1)) +
      ($B$96 - INDEX($B$4:$B$94, MATCH($B$96, $B$4:$B$94, 1))) *
      (INDEX(AN4:AN94, MATCH($B$96, $B$4:$B$94, 1) + 1) - INDEX(AN4:AN94, MATCH($B$96, $B$4:$B$94, 1))) /
      (INDEX($B$4:$B$94, MATCH($B$96, $B$4:$B$94, 1) + 1) - INDEX($B$4:$B$94, MATCH($B$96, $B$4:$B$94, 1))),
      "Out of Range"
   ),
   "Out of Range"
)</f>
        <v>5.4939</v>
      </c>
      <c r="AO96" s="15" cm="1">
        <f t="array" ref="AO96">IFERROR(
   IF(
      AND($B$96 &gt;= MIN($B$4:$B$94), $B$96 &lt;= MAX($B$4:$B$94)),
      INDEX(AO4:AO94, MATCH($B$96, $B$4:$B$94, 1)) +
      ($B$96 - INDEX($B$4:$B$94, MATCH($B$96, $B$4:$B$94, 1))) *
      (INDEX(AO4:AO94, MATCH($B$96, $B$4:$B$94, 1) + 1) - INDEX(AO4:AO94, MATCH($B$96, $B$4:$B$94, 1))) /
      (INDEX($B$4:$B$94, MATCH($B$96, $B$4:$B$94, 1) + 1) - INDEX($B$4:$B$94, MATCH($B$96, $B$4:$B$94, 1))),
      "Out of Range"
   ),
   "Out of Range"
)</f>
        <v>3.2947000000000002</v>
      </c>
      <c r="AP96" s="15" cm="1">
        <f t="array" ref="AP96">IFERROR(
   IF(
      AND($B$96 &gt;= MIN($B$4:$B$94), $B$96 &lt;= MAX($B$4:$B$94)),
      INDEX(AP4:AP94, MATCH($B$96, $B$4:$B$94, 1)) +
      ($B$96 - INDEX($B$4:$B$94, MATCH($B$96, $B$4:$B$94, 1))) *
      (INDEX(AP4:AP94, MATCH($B$96, $B$4:$B$94, 1) + 1) - INDEX(AP4:AP94, MATCH($B$96, $B$4:$B$94, 1))) /
      (INDEX($B$4:$B$94, MATCH($B$96, $B$4:$B$94, 1) + 1) - INDEX($B$4:$B$94, MATCH($B$96, $B$4:$B$94, 1))),
      "Out of Range"
   ),
   "Out of Range"
)</f>
        <v>8.827</v>
      </c>
      <c r="AS96" s="5"/>
      <c r="AW96" s="5"/>
    </row>
    <row r="97" spans="1:49" ht="15.75" thickBot="1">
      <c r="A97" s="117"/>
      <c r="B97" s="119"/>
      <c r="C97" s="8"/>
      <c r="D97" s="8"/>
      <c r="E97" s="118"/>
      <c r="F97" s="8"/>
      <c r="G97" s="8"/>
      <c r="H97" s="118"/>
      <c r="I97" s="118"/>
      <c r="J97" s="118"/>
      <c r="K97" s="119"/>
      <c r="L97" s="119"/>
      <c r="M97" s="119"/>
      <c r="N97" s="118"/>
      <c r="O97" s="118"/>
      <c r="P97" s="16"/>
      <c r="Q97" s="119"/>
      <c r="R97" s="119"/>
      <c r="S97" s="119"/>
      <c r="W97" s="118"/>
      <c r="X97" s="118"/>
      <c r="Z97" s="118"/>
      <c r="AA97" s="119"/>
      <c r="AB97" s="119"/>
      <c r="AC97" s="119"/>
      <c r="AD97" s="119"/>
      <c r="AF97" s="4"/>
      <c r="AG97" s="16"/>
      <c r="AH97" s="16"/>
      <c r="AI97" s="16"/>
      <c r="AJ97" s="16"/>
      <c r="AK97" s="5"/>
      <c r="AL97" s="4"/>
      <c r="AM97" s="16"/>
      <c r="AN97" s="16"/>
      <c r="AO97" s="16"/>
      <c r="AP97" s="16"/>
      <c r="AS97" s="5"/>
      <c r="AW97" s="5"/>
    </row>
    <row r="98" spans="1:49" ht="15.75" thickBot="1">
      <c r="A98" s="127">
        <f>CM!E64</f>
        <v>1</v>
      </c>
      <c r="B98" s="124">
        <f t="shared" ref="B98:O98" si="30">B96*$A$98</f>
        <v>120</v>
      </c>
      <c r="C98" s="235">
        <f t="shared" si="30"/>
        <v>324.68</v>
      </c>
      <c r="D98" s="235">
        <f t="shared" si="30"/>
        <v>655.17999999999995</v>
      </c>
      <c r="E98" s="125">
        <f t="shared" si="30"/>
        <v>7.6513000000000004E-5</v>
      </c>
      <c r="F98" s="235">
        <f t="shared" si="30"/>
        <v>6809.1</v>
      </c>
      <c r="G98" s="235">
        <f t="shared" si="30"/>
        <v>0.51166999999999996</v>
      </c>
      <c r="H98" s="125">
        <f t="shared" si="30"/>
        <v>1.5263E-3</v>
      </c>
      <c r="I98" s="125">
        <f t="shared" si="30"/>
        <v>1473100</v>
      </c>
      <c r="J98" s="125">
        <f t="shared" si="30"/>
        <v>1491500</v>
      </c>
      <c r="K98" s="124">
        <f t="shared" si="30"/>
        <v>3496.7000000000003</v>
      </c>
      <c r="L98" s="124">
        <f t="shared" si="30"/>
        <v>3045.4</v>
      </c>
      <c r="M98" s="124">
        <f t="shared" si="30"/>
        <v>763.65</v>
      </c>
      <c r="N98" s="125">
        <f t="shared" si="30"/>
        <v>4.3422000000000002E-2</v>
      </c>
      <c r="O98" s="126">
        <f t="shared" si="30"/>
        <v>8.8447000000000005E-3</v>
      </c>
      <c r="Q98" s="127">
        <f>CM!E63</f>
        <v>0</v>
      </c>
      <c r="R98" s="124">
        <f t="shared" ref="R98:AD98" si="31">R96*$Q$98</f>
        <v>0</v>
      </c>
      <c r="S98" s="124">
        <f t="shared" si="31"/>
        <v>0</v>
      </c>
      <c r="T98" s="235">
        <f t="shared" si="31"/>
        <v>0</v>
      </c>
      <c r="U98" s="124">
        <f t="shared" si="31"/>
        <v>0</v>
      </c>
      <c r="V98" s="235">
        <f t="shared" si="31"/>
        <v>0</v>
      </c>
      <c r="W98" s="124">
        <f t="shared" si="31"/>
        <v>0</v>
      </c>
      <c r="X98" s="124">
        <f t="shared" si="31"/>
        <v>0</v>
      </c>
      <c r="Y98" s="124">
        <f t="shared" si="31"/>
        <v>0</v>
      </c>
      <c r="Z98" s="124">
        <f t="shared" si="31"/>
        <v>0</v>
      </c>
      <c r="AA98" s="124">
        <f t="shared" si="31"/>
        <v>0</v>
      </c>
      <c r="AB98" s="124">
        <f t="shared" si="31"/>
        <v>0</v>
      </c>
      <c r="AC98" s="124">
        <f t="shared" si="31"/>
        <v>0</v>
      </c>
      <c r="AD98" s="99">
        <f t="shared" si="31"/>
        <v>0</v>
      </c>
      <c r="AF98" s="9">
        <f>AF96*$A$98</f>
        <v>1473.1</v>
      </c>
      <c r="AG98" s="15">
        <f>AG96*$A$98</f>
        <v>1491.5</v>
      </c>
      <c r="AH98" s="15">
        <f>AH96*$A$98</f>
        <v>3.4967000000000001</v>
      </c>
      <c r="AI98" s="15">
        <f>AI96*$A$98</f>
        <v>3.0453999999999999</v>
      </c>
      <c r="AJ98" s="15">
        <f>AJ96*$A$98</f>
        <v>6.8090999999999999</v>
      </c>
      <c r="AK98" s="5"/>
      <c r="AL98" s="15">
        <f>AL96*$Q$98</f>
        <v>0</v>
      </c>
      <c r="AM98" s="15">
        <f>AM96*$Q$98</f>
        <v>0</v>
      </c>
      <c r="AN98" s="15">
        <f>AN96*$Q$98</f>
        <v>0</v>
      </c>
      <c r="AO98" s="15">
        <f>AO96*$Q$98</f>
        <v>0</v>
      </c>
      <c r="AP98" s="15">
        <f>AP96*$Q$98</f>
        <v>0</v>
      </c>
      <c r="AS98" s="5"/>
      <c r="AW98" s="5"/>
    </row>
    <row r="99" spans="1:49" ht="15.75" thickBot="1">
      <c r="A99" s="117"/>
      <c r="B99" s="119"/>
      <c r="C99" s="8"/>
      <c r="D99" s="8"/>
      <c r="E99" s="118"/>
      <c r="F99" s="8"/>
      <c r="G99" s="8"/>
      <c r="H99" s="118"/>
      <c r="I99" s="118"/>
      <c r="J99" s="118"/>
      <c r="K99" s="119"/>
      <c r="L99" s="119"/>
      <c r="M99" s="119"/>
      <c r="N99" s="118"/>
      <c r="O99" s="119"/>
      <c r="R99" s="119"/>
      <c r="S99" s="119"/>
      <c r="U99" s="119"/>
      <c r="W99" s="119"/>
      <c r="X99" s="119"/>
      <c r="Y99" s="119"/>
      <c r="Z99" s="119"/>
      <c r="AA99" s="119"/>
      <c r="AB99" s="119"/>
      <c r="AC99" s="119"/>
      <c r="AD99" s="119"/>
      <c r="AF99" s="4"/>
      <c r="AG99" s="16"/>
      <c r="AH99" s="16"/>
      <c r="AI99" s="16"/>
      <c r="AJ99" s="16"/>
      <c r="AK99" s="5"/>
      <c r="AL99" s="16"/>
      <c r="AM99" s="16"/>
      <c r="AN99" s="16"/>
      <c r="AO99" s="16"/>
      <c r="AP99" s="16"/>
      <c r="AS99" s="5"/>
      <c r="AW99" s="5"/>
    </row>
    <row r="100" spans="1:49" ht="15.75" thickBot="1">
      <c r="A100" s="128" t="b">
        <v>1</v>
      </c>
      <c r="B100" s="124">
        <f t="shared" ref="B100:N100" si="32">B98+R98</f>
        <v>120</v>
      </c>
      <c r="C100" s="235">
        <f t="shared" si="32"/>
        <v>324.68</v>
      </c>
      <c r="D100" s="235">
        <f t="shared" si="32"/>
        <v>655.17999999999995</v>
      </c>
      <c r="E100" s="125">
        <f t="shared" si="32"/>
        <v>7.6513000000000004E-5</v>
      </c>
      <c r="F100" s="235">
        <f t="shared" si="32"/>
        <v>6809.1</v>
      </c>
      <c r="G100" s="235">
        <f t="shared" si="32"/>
        <v>0.51166999999999996</v>
      </c>
      <c r="H100" s="125">
        <f t="shared" si="32"/>
        <v>1.5263E-3</v>
      </c>
      <c r="I100" s="125">
        <f t="shared" si="32"/>
        <v>1473100</v>
      </c>
      <c r="J100" s="125">
        <f t="shared" si="32"/>
        <v>1491500</v>
      </c>
      <c r="K100" s="124">
        <f t="shared" si="32"/>
        <v>3496.7000000000003</v>
      </c>
      <c r="L100" s="124">
        <f t="shared" si="32"/>
        <v>3045.4</v>
      </c>
      <c r="M100" s="124">
        <f t="shared" si="32"/>
        <v>763.65</v>
      </c>
      <c r="N100" s="126">
        <f t="shared" si="32"/>
        <v>4.3422000000000002E-2</v>
      </c>
      <c r="O100" s="119"/>
      <c r="R100" s="119"/>
      <c r="S100" s="119"/>
      <c r="U100" s="119"/>
      <c r="W100" s="119"/>
      <c r="X100" s="119"/>
      <c r="Y100" s="119"/>
      <c r="Z100" s="119"/>
      <c r="AA100" s="119"/>
      <c r="AB100" s="119"/>
      <c r="AC100" s="119"/>
      <c r="AD100" s="119"/>
      <c r="AF100" s="9">
        <f>AF98+AL98</f>
        <v>1473.1</v>
      </c>
      <c r="AG100" s="15">
        <f>AG98+AM98</f>
        <v>1491.5</v>
      </c>
      <c r="AH100" s="15">
        <f>AH98+AN98</f>
        <v>3.4967000000000001</v>
      </c>
      <c r="AI100" s="15">
        <f>AI98+AO98</f>
        <v>3.0453999999999999</v>
      </c>
      <c r="AJ100" s="15">
        <f>AJ98+AP98</f>
        <v>6.8090999999999999</v>
      </c>
      <c r="AK100" s="5"/>
      <c r="AL100" s="16"/>
      <c r="AM100" s="16"/>
      <c r="AN100" s="16"/>
      <c r="AO100" s="16"/>
      <c r="AP100" s="16"/>
      <c r="AS100" s="5"/>
      <c r="AW100" s="5"/>
    </row>
    <row r="102" spans="1:49">
      <c r="A102" s="120" t="s">
        <v>44</v>
      </c>
    </row>
  </sheetData>
  <mergeCells count="3">
    <mergeCell ref="R1:AD1"/>
    <mergeCell ref="D1:G1"/>
    <mergeCell ref="B1:C1"/>
  </mergeCells>
  <hyperlinks>
    <hyperlink ref="A102" r:id="rId1" xr:uid="{0B8689EA-DB47-4666-8AA0-12B8351F4AD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AB0992-9E67-4806-8294-A9AB2516BCA6}">
  <dimension ref="B1:O49"/>
  <sheetViews>
    <sheetView zoomScaleNormal="100" workbookViewId="0">
      <selection activeCell="D33" sqref="D33"/>
    </sheetView>
  </sheetViews>
  <sheetFormatPr defaultRowHeight="15"/>
  <cols>
    <col min="1" max="1" width="3.28515625" customWidth="1"/>
    <col min="2" max="2" width="34.42578125" bestFit="1" customWidth="1"/>
    <col min="3" max="3" width="11.85546875" bestFit="1" customWidth="1"/>
    <col min="4" max="4" width="2.85546875" customWidth="1"/>
    <col min="5" max="5" width="13.140625" bestFit="1" customWidth="1"/>
    <col min="6" max="6" width="7.140625" customWidth="1"/>
    <col min="7" max="7" width="11.140625" customWidth="1"/>
    <col min="8" max="8" width="7.5703125" customWidth="1"/>
    <col min="9" max="9" width="10.140625" customWidth="1"/>
    <col min="10" max="10" width="9.28515625" customWidth="1"/>
    <col min="11" max="11" width="2.85546875" customWidth="1"/>
    <col min="12" max="12" width="8.85546875" bestFit="1" customWidth="1"/>
    <col min="13" max="13" width="10.140625" bestFit="1" customWidth="1"/>
    <col min="14" max="14" width="8.7109375" bestFit="1" customWidth="1"/>
    <col min="15" max="15" width="6.140625" bestFit="1" customWidth="1"/>
  </cols>
  <sheetData>
    <row r="1" spans="2:15" ht="15.75" thickBot="1"/>
    <row r="2" spans="2:15" ht="46.5" customHeight="1">
      <c r="B2" s="94" t="s">
        <v>45</v>
      </c>
      <c r="C2" s="40" t="s">
        <v>170</v>
      </c>
      <c r="D2" s="95"/>
      <c r="E2" s="294" t="s">
        <v>168</v>
      </c>
      <c r="F2" s="39" t="s">
        <v>175</v>
      </c>
      <c r="G2" s="39" t="s">
        <v>373</v>
      </c>
      <c r="H2" s="39" t="s">
        <v>171</v>
      </c>
      <c r="I2" s="39" t="s">
        <v>283</v>
      </c>
      <c r="J2" s="40" t="s">
        <v>284</v>
      </c>
      <c r="L2" s="294" t="s">
        <v>168</v>
      </c>
      <c r="M2" s="39" t="s">
        <v>283</v>
      </c>
      <c r="N2" s="37" t="s">
        <v>146</v>
      </c>
      <c r="O2" s="68" t="s">
        <v>172</v>
      </c>
    </row>
    <row r="3" spans="2:15">
      <c r="B3" s="84"/>
      <c r="C3" s="86" t="s">
        <v>159</v>
      </c>
      <c r="E3" s="295"/>
      <c r="F3" s="296" t="s">
        <v>170</v>
      </c>
      <c r="G3" s="296"/>
      <c r="H3" s="296"/>
      <c r="I3" s="296"/>
      <c r="J3" s="297"/>
      <c r="L3" s="295"/>
      <c r="M3" s="296" t="s">
        <v>170</v>
      </c>
      <c r="N3" s="296"/>
      <c r="O3" s="297"/>
    </row>
    <row r="4" spans="2:15" ht="17.25">
      <c r="B4" s="78"/>
      <c r="C4" s="86"/>
      <c r="E4" s="78" t="s">
        <v>166</v>
      </c>
      <c r="F4" s="296" t="s">
        <v>159</v>
      </c>
      <c r="G4" s="296"/>
      <c r="H4" s="296"/>
      <c r="I4" s="296"/>
      <c r="J4" s="297"/>
      <c r="L4" s="78" t="s">
        <v>166</v>
      </c>
      <c r="M4" s="296" t="s">
        <v>159</v>
      </c>
      <c r="N4" s="296"/>
      <c r="O4" s="297"/>
    </row>
    <row r="5" spans="2:15">
      <c r="B5" s="78" t="s">
        <v>42</v>
      </c>
      <c r="C5" s="48">
        <v>3</v>
      </c>
      <c r="E5" s="89">
        <v>20</v>
      </c>
      <c r="F5" s="75"/>
      <c r="G5" s="83">
        <v>15</v>
      </c>
      <c r="H5" s="75"/>
      <c r="I5" s="27"/>
      <c r="J5" s="132"/>
      <c r="L5" s="78">
        <v>0</v>
      </c>
      <c r="M5" s="23">
        <v>3</v>
      </c>
      <c r="N5" s="23">
        <v>0.3</v>
      </c>
      <c r="O5" s="86">
        <v>0.6</v>
      </c>
    </row>
    <row r="6" spans="2:15" ht="15.75" thickBot="1">
      <c r="B6" s="79" t="s">
        <v>43</v>
      </c>
      <c r="C6" s="59">
        <v>0.3</v>
      </c>
      <c r="E6" s="89">
        <v>23</v>
      </c>
      <c r="F6" s="75"/>
      <c r="G6" s="75"/>
      <c r="H6" s="83">
        <v>11</v>
      </c>
      <c r="I6" s="27"/>
      <c r="J6" s="132"/>
      <c r="L6" s="79">
        <v>700</v>
      </c>
      <c r="M6" s="30">
        <v>3</v>
      </c>
      <c r="N6" s="30">
        <v>0.3</v>
      </c>
      <c r="O6" s="130">
        <v>0.6</v>
      </c>
    </row>
    <row r="7" spans="2:15" ht="15.75" thickBot="1">
      <c r="B7" s="2"/>
      <c r="C7" s="2"/>
      <c r="E7" s="89">
        <v>100</v>
      </c>
      <c r="F7" s="83">
        <v>48</v>
      </c>
      <c r="G7" s="83">
        <v>16</v>
      </c>
      <c r="H7" s="83">
        <v>12</v>
      </c>
      <c r="I7" s="85">
        <v>3.72</v>
      </c>
      <c r="J7" s="80">
        <v>5.92</v>
      </c>
    </row>
    <row r="8" spans="2:15" ht="15.75" thickBot="1">
      <c r="B8" s="98" t="str">
        <f>CM!E82</f>
        <v>Iron and other impurities (0,3 W/mK)</v>
      </c>
      <c r="C8" s="99">
        <f>IFERROR(VLOOKUP(B8, B5:C6, 2, FALSE), "No Match")</f>
        <v>0.3</v>
      </c>
      <c r="E8" s="89">
        <v>200</v>
      </c>
      <c r="F8" s="83">
        <v>47</v>
      </c>
      <c r="G8" s="83">
        <v>18</v>
      </c>
      <c r="H8" s="75"/>
      <c r="I8" s="85">
        <v>3.58</v>
      </c>
      <c r="J8" s="80">
        <v>2.25</v>
      </c>
    </row>
    <row r="9" spans="2:15">
      <c r="E9" s="89">
        <v>300</v>
      </c>
      <c r="F9" s="83">
        <v>46</v>
      </c>
      <c r="G9" s="83">
        <v>20</v>
      </c>
      <c r="H9" s="83">
        <v>16</v>
      </c>
      <c r="I9" s="85">
        <v>3.44</v>
      </c>
      <c r="J9" s="80">
        <v>4.59</v>
      </c>
    </row>
    <row r="10" spans="2:15">
      <c r="E10" s="89">
        <v>400</v>
      </c>
      <c r="F10" s="83">
        <v>44</v>
      </c>
      <c r="G10" s="83">
        <v>22</v>
      </c>
      <c r="H10" s="75"/>
      <c r="I10" s="85">
        <v>3.31</v>
      </c>
      <c r="J10" s="80">
        <v>3.93</v>
      </c>
    </row>
    <row r="11" spans="2:15">
      <c r="E11" s="89">
        <v>500</v>
      </c>
      <c r="F11" s="83">
        <v>42</v>
      </c>
      <c r="G11" s="83">
        <v>23</v>
      </c>
      <c r="H11" s="83">
        <v>19</v>
      </c>
      <c r="I11" s="27"/>
      <c r="J11" s="132"/>
    </row>
    <row r="12" spans="2:15">
      <c r="E12" s="89">
        <v>600</v>
      </c>
      <c r="F12" s="75"/>
      <c r="G12" s="83">
        <v>25</v>
      </c>
      <c r="H12" s="75"/>
      <c r="I12" s="27"/>
      <c r="J12" s="132"/>
    </row>
    <row r="13" spans="2:15">
      <c r="E13" s="89">
        <v>700</v>
      </c>
      <c r="F13" s="75"/>
      <c r="G13" s="83">
        <v>26</v>
      </c>
      <c r="H13" s="75"/>
      <c r="I13" s="27"/>
      <c r="J13" s="132"/>
    </row>
    <row r="14" spans="2:15" ht="15.75" thickBot="1">
      <c r="E14" s="79" t="s">
        <v>173</v>
      </c>
      <c r="F14" s="131" t="s">
        <v>24</v>
      </c>
      <c r="G14" s="131" t="s">
        <v>26</v>
      </c>
      <c r="H14" s="131" t="s">
        <v>24</v>
      </c>
      <c r="I14" s="298" t="s">
        <v>174</v>
      </c>
      <c r="J14" s="299"/>
    </row>
    <row r="15" spans="2:15" ht="15.75" thickBot="1"/>
    <row r="16" spans="2:15" ht="18">
      <c r="B16" s="210" t="s">
        <v>285</v>
      </c>
      <c r="C16" s="37" t="s">
        <v>290</v>
      </c>
      <c r="D16" s="211"/>
      <c r="E16" s="212">
        <v>-2.1428570000000001E-5</v>
      </c>
    </row>
    <row r="17" spans="2:5" ht="18">
      <c r="B17" s="28" t="s">
        <v>286</v>
      </c>
      <c r="C17" s="23" t="s">
        <v>294</v>
      </c>
      <c r="D17" s="1"/>
      <c r="E17" s="213">
        <v>-2.1428570000000002E-3</v>
      </c>
    </row>
    <row r="18" spans="2:5" ht="18.75" thickBot="1">
      <c r="B18" s="214" t="s">
        <v>287</v>
      </c>
      <c r="C18" s="30" t="s">
        <v>295</v>
      </c>
      <c r="D18" s="215"/>
      <c r="E18" s="216">
        <v>48.4</v>
      </c>
    </row>
    <row r="19" spans="2:5" ht="15.75" thickBot="1"/>
    <row r="20" spans="2:5" ht="18">
      <c r="B20" s="210" t="s">
        <v>313</v>
      </c>
      <c r="C20" s="37" t="s">
        <v>292</v>
      </c>
      <c r="D20" s="211"/>
      <c r="E20" s="212">
        <v>1.6826629999999999E-2</v>
      </c>
    </row>
    <row r="21" spans="2:5" ht="18.75" thickBot="1">
      <c r="B21" s="214" t="s">
        <v>314</v>
      </c>
      <c r="C21" s="30" t="s">
        <v>296</v>
      </c>
      <c r="D21" s="215"/>
      <c r="E21" s="216">
        <v>14.69361</v>
      </c>
    </row>
    <row r="22" spans="2:5" ht="15.75" thickBot="1"/>
    <row r="23" spans="2:5" ht="18">
      <c r="B23" s="210" t="s">
        <v>315</v>
      </c>
      <c r="C23" s="37" t="s">
        <v>293</v>
      </c>
      <c r="D23" s="211"/>
      <c r="E23" s="212">
        <v>1.7226869999999998E-2</v>
      </c>
    </row>
    <row r="24" spans="2:5" ht="18.75" thickBot="1">
      <c r="B24" s="214" t="s">
        <v>316</v>
      </c>
      <c r="C24" s="30" t="s">
        <v>297</v>
      </c>
      <c r="D24" s="215"/>
      <c r="E24" s="216">
        <v>10.524900000000001</v>
      </c>
    </row>
    <row r="47" spans="3:4">
      <c r="C47" s="2"/>
      <c r="D47" s="2"/>
    </row>
    <row r="48" spans="3:4">
      <c r="C48" s="2"/>
      <c r="D48" s="2"/>
    </row>
    <row r="49" spans="3:4">
      <c r="C49" s="2"/>
      <c r="D49" s="2"/>
    </row>
  </sheetData>
  <mergeCells count="7">
    <mergeCell ref="E2:E3"/>
    <mergeCell ref="L2:L3"/>
    <mergeCell ref="M3:O3"/>
    <mergeCell ref="M4:O4"/>
    <mergeCell ref="I14:J14"/>
    <mergeCell ref="F3:J3"/>
    <mergeCell ref="F4:J4"/>
  </mergeCells>
  <hyperlinks>
    <hyperlink ref="F14" r:id="rId1" display="https://www.alleima.com/en/products/tube-pipe-fittings-and-flanges/tubular-products/composite-tubes/sanicro-67-for-black-liquor-recovery-boilers/" xr:uid="{1F2485B6-6358-45A2-8975-12776194D84C}"/>
    <hyperlink ref="G14" r:id="rId2" display="https://www.alleima.com/en/technical-center/material-datasheets/tube-and-pipe-seamless/alleima-3r12/" xr:uid="{1604D456-49C8-4EA9-A16C-DCCE17A02775}"/>
    <hyperlink ref="H14" r:id="rId3" display="https://www.alleima.com/en/products/tube-pipe-fittings-and-flanges/tubular-products/composite-tubes/sanicro-67-for-black-liquor-recovery-boilers/" xr:uid="{A06AAA0B-1675-451B-B78C-F4AF10763689}"/>
  </hyperlinks>
  <pageMargins left="0.7" right="0.7" top="0.75" bottom="0.75" header="0.3" footer="0.3"/>
  <drawing r:id="rId4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64057D-9196-4AD3-8174-624E5EE2885F}">
  <dimension ref="B1:V85"/>
  <sheetViews>
    <sheetView zoomScaleNormal="100" workbookViewId="0">
      <selection activeCell="B8" sqref="B2:F8"/>
    </sheetView>
  </sheetViews>
  <sheetFormatPr defaultRowHeight="15"/>
  <cols>
    <col min="1" max="1" width="3.28515625" customWidth="1"/>
    <col min="2" max="2" width="17.42578125" bestFit="1" customWidth="1"/>
    <col min="3" max="3" width="12.28515625" customWidth="1"/>
    <col min="4" max="4" width="7.7109375" bestFit="1" customWidth="1"/>
    <col min="5" max="5" width="11.7109375" bestFit="1" customWidth="1"/>
    <col min="6" max="6" width="9.85546875" bestFit="1" customWidth="1"/>
    <col min="7" max="7" width="3.28515625" customWidth="1"/>
    <col min="8" max="8" width="23.28515625" bestFit="1" customWidth="1"/>
    <col min="9" max="9" width="4.140625" bestFit="1" customWidth="1"/>
    <col min="10" max="10" width="15" bestFit="1" customWidth="1"/>
    <col min="11" max="11" width="14.5703125" bestFit="1" customWidth="1"/>
    <col min="12" max="12" width="9.85546875" bestFit="1" customWidth="1"/>
    <col min="16" max="16" width="12.7109375" customWidth="1"/>
    <col min="17" max="17" width="7.28515625" bestFit="1" customWidth="1"/>
    <col min="18" max="18" width="9.85546875" customWidth="1"/>
    <col min="19" max="19" width="7.42578125" bestFit="1" customWidth="1"/>
    <col min="20" max="20" width="8.7109375" bestFit="1" customWidth="1"/>
    <col min="21" max="21" width="12.140625" customWidth="1"/>
    <col min="22" max="22" width="12.28515625" customWidth="1"/>
  </cols>
  <sheetData>
    <row r="1" spans="2:12" ht="15.75" thickBot="1"/>
    <row r="2" spans="2:12" ht="33" customHeight="1">
      <c r="B2" s="304" t="s">
        <v>173</v>
      </c>
      <c r="C2" s="39" t="s">
        <v>310</v>
      </c>
      <c r="D2" s="133" t="s">
        <v>309</v>
      </c>
      <c r="E2" s="133" t="s">
        <v>311</v>
      </c>
      <c r="F2" s="40" t="s">
        <v>312</v>
      </c>
      <c r="H2" s="42"/>
      <c r="I2" s="37"/>
      <c r="J2" s="37" t="s">
        <v>350</v>
      </c>
      <c r="K2" s="68" t="s">
        <v>171</v>
      </c>
    </row>
    <row r="3" spans="2:12" ht="18">
      <c r="B3" s="305"/>
      <c r="C3" s="23" t="s">
        <v>166</v>
      </c>
      <c r="D3" s="23" t="s">
        <v>167</v>
      </c>
      <c r="E3" s="23" t="s">
        <v>166</v>
      </c>
      <c r="F3" s="86" t="s">
        <v>167</v>
      </c>
      <c r="H3" s="78" t="s">
        <v>317</v>
      </c>
      <c r="I3" s="23" t="s">
        <v>320</v>
      </c>
      <c r="J3" s="90">
        <v>-9.7292289999999993E-6</v>
      </c>
      <c r="K3" s="213">
        <v>1.3253959999999999E-5</v>
      </c>
    </row>
    <row r="4" spans="2:12" ht="18">
      <c r="B4" s="78" t="s">
        <v>375</v>
      </c>
      <c r="C4" s="70"/>
      <c r="D4" s="70"/>
      <c r="E4" s="47">
        <v>374.65006424048664</v>
      </c>
      <c r="F4" s="48">
        <v>0</v>
      </c>
      <c r="H4" s="78" t="s">
        <v>318</v>
      </c>
      <c r="I4" s="23" t="s">
        <v>321</v>
      </c>
      <c r="J4" s="90">
        <v>1.7162190000000001E-2</v>
      </c>
      <c r="K4" s="213">
        <v>-9.7261840000000006E-3</v>
      </c>
    </row>
    <row r="5" spans="2:12" ht="18.75" thickBot="1">
      <c r="B5" s="78" t="s">
        <v>377</v>
      </c>
      <c r="C5" s="47">
        <v>381.05898429441402</v>
      </c>
      <c r="D5" s="47">
        <v>5.9279999999999999E-2</v>
      </c>
      <c r="E5" s="70"/>
      <c r="F5" s="38"/>
      <c r="H5" s="79" t="s">
        <v>319</v>
      </c>
      <c r="I5" s="30" t="s">
        <v>322</v>
      </c>
      <c r="J5" s="231">
        <v>-5.0677839999999996</v>
      </c>
      <c r="K5" s="216">
        <v>1.7835540000000001</v>
      </c>
    </row>
    <row r="6" spans="2:12" ht="15.75" thickBot="1">
      <c r="B6" s="78" t="s">
        <v>374</v>
      </c>
      <c r="C6" s="47">
        <v>440</v>
      </c>
      <c r="D6" s="47">
        <v>0.6</v>
      </c>
      <c r="E6" s="47">
        <v>440</v>
      </c>
      <c r="F6" s="48">
        <v>7.0000000000000007E-2</v>
      </c>
      <c r="H6" s="2"/>
      <c r="I6" s="2"/>
      <c r="J6" s="134"/>
      <c r="K6" s="134"/>
      <c r="L6" s="26"/>
    </row>
    <row r="7" spans="2:12" ht="18.75" thickBot="1">
      <c r="B7" s="78" t="s">
        <v>341</v>
      </c>
      <c r="C7" s="70"/>
      <c r="D7" s="70"/>
      <c r="E7" s="47">
        <v>490</v>
      </c>
      <c r="F7" s="48">
        <v>0.2</v>
      </c>
      <c r="H7" s="92" t="s">
        <v>323</v>
      </c>
      <c r="I7" s="29" t="s">
        <v>324</v>
      </c>
      <c r="J7" s="135">
        <f>(-J4+SQRT(J4^2-4*J3*J5))/(2*J3)</f>
        <v>375.01374316026352</v>
      </c>
      <c r="K7" s="136">
        <f>(-K4+SQRT(K4^2-4*K3*K5))/(2*K3)</f>
        <v>374.65122663348779</v>
      </c>
    </row>
    <row r="8" spans="2:12" ht="15.75" thickBot="1">
      <c r="B8" s="79" t="s">
        <v>378</v>
      </c>
      <c r="C8" s="58">
        <v>655.14342960768454</v>
      </c>
      <c r="D8" s="58">
        <v>2</v>
      </c>
      <c r="E8" s="63"/>
      <c r="F8" s="64"/>
    </row>
    <row r="13" spans="2:12">
      <c r="H13" s="17"/>
      <c r="I13" s="17"/>
    </row>
    <row r="17" spans="7:10">
      <c r="G17" s="18"/>
      <c r="J17" s="17"/>
    </row>
    <row r="38" spans="5:22">
      <c r="E38" s="2"/>
    </row>
    <row r="39" spans="5:22">
      <c r="E39" s="91"/>
    </row>
    <row r="41" spans="5:22" ht="15.75" thickBot="1"/>
    <row r="42" spans="5:22">
      <c r="N42" s="12"/>
      <c r="P42" s="304" t="s">
        <v>342</v>
      </c>
      <c r="Q42" s="300" t="s">
        <v>343</v>
      </c>
      <c r="R42" s="300"/>
      <c r="S42" s="300"/>
      <c r="T42" s="300" t="s">
        <v>344</v>
      </c>
      <c r="U42" s="253" t="s">
        <v>345</v>
      </c>
      <c r="V42" s="254" t="s">
        <v>173</v>
      </c>
    </row>
    <row r="43" spans="5:22" ht="60.75" thickBot="1">
      <c r="N43" s="12"/>
      <c r="P43" s="306"/>
      <c r="Q43" s="192" t="s">
        <v>346</v>
      </c>
      <c r="R43" s="192" t="s">
        <v>347</v>
      </c>
      <c r="S43" s="192" t="s">
        <v>171</v>
      </c>
      <c r="T43" s="298"/>
      <c r="U43" s="316"/>
      <c r="V43" s="313"/>
    </row>
    <row r="44" spans="5:22">
      <c r="N44" s="12"/>
      <c r="P44" s="193">
        <v>250</v>
      </c>
      <c r="Q44" s="194">
        <v>0.1</v>
      </c>
      <c r="R44" s="194">
        <v>0</v>
      </c>
      <c r="S44" s="194">
        <v>0</v>
      </c>
      <c r="T44" s="194">
        <v>1000</v>
      </c>
      <c r="U44" s="314" t="s">
        <v>348</v>
      </c>
      <c r="V44" s="315" t="s">
        <v>349</v>
      </c>
    </row>
    <row r="45" spans="5:22">
      <c r="N45" s="12"/>
      <c r="P45" s="78">
        <v>300</v>
      </c>
      <c r="Q45" s="23">
        <v>0.4</v>
      </c>
      <c r="R45" s="23">
        <v>0.1</v>
      </c>
      <c r="S45" s="23">
        <v>0</v>
      </c>
      <c r="T45" s="23">
        <v>1000</v>
      </c>
      <c r="U45" s="301"/>
      <c r="V45" s="303"/>
    </row>
    <row r="46" spans="5:22">
      <c r="N46" s="12"/>
      <c r="P46" s="78">
        <v>350</v>
      </c>
      <c r="Q46" s="23">
        <v>0.8</v>
      </c>
      <c r="R46" s="23">
        <v>0.3</v>
      </c>
      <c r="S46" s="23">
        <v>0</v>
      </c>
      <c r="T46" s="23">
        <v>1000</v>
      </c>
      <c r="U46" s="301"/>
      <c r="V46" s="303"/>
    </row>
    <row r="47" spans="5:22">
      <c r="N47" s="12"/>
      <c r="P47" s="78">
        <v>400</v>
      </c>
      <c r="Q47" s="23">
        <v>1.7</v>
      </c>
      <c r="R47" s="23">
        <v>0.6</v>
      </c>
      <c r="S47" s="23">
        <v>0</v>
      </c>
      <c r="T47" s="23">
        <v>1000</v>
      </c>
      <c r="U47" s="301"/>
      <c r="V47" s="303"/>
    </row>
    <row r="48" spans="5:22">
      <c r="P48" s="78">
        <v>450</v>
      </c>
      <c r="Q48" s="23">
        <v>3.3</v>
      </c>
      <c r="R48" s="23">
        <v>1.4</v>
      </c>
      <c r="S48" s="23">
        <v>0.2</v>
      </c>
      <c r="T48" s="23">
        <v>1000</v>
      </c>
      <c r="U48" s="301"/>
      <c r="V48" s="303"/>
    </row>
    <row r="49" spans="16:22" ht="15.75" thickBot="1">
      <c r="P49" s="79">
        <v>500</v>
      </c>
      <c r="Q49" s="30">
        <v>5.7</v>
      </c>
      <c r="R49" s="30">
        <v>2.1</v>
      </c>
      <c r="S49" s="30">
        <v>0.3</v>
      </c>
      <c r="T49" s="30">
        <v>1000</v>
      </c>
      <c r="U49" s="298"/>
      <c r="V49" s="299"/>
    </row>
    <row r="50" spans="16:22">
      <c r="P50" s="42">
        <v>250</v>
      </c>
      <c r="Q50" s="37">
        <v>0.1</v>
      </c>
      <c r="R50" s="37">
        <v>0</v>
      </c>
      <c r="S50" s="37"/>
      <c r="T50" s="37">
        <v>10000</v>
      </c>
      <c r="U50" s="300" t="s">
        <v>350</v>
      </c>
      <c r="V50" s="302" t="s">
        <v>351</v>
      </c>
    </row>
    <row r="51" spans="16:22">
      <c r="P51" s="78">
        <v>300</v>
      </c>
      <c r="Q51" s="23">
        <v>0.2</v>
      </c>
      <c r="R51" s="23">
        <v>0</v>
      </c>
      <c r="S51" s="23"/>
      <c r="T51" s="23">
        <v>10000</v>
      </c>
      <c r="U51" s="301"/>
      <c r="V51" s="303"/>
    </row>
    <row r="52" spans="16:22">
      <c r="P52" s="78">
        <v>350</v>
      </c>
      <c r="Q52" s="23">
        <v>0.4</v>
      </c>
      <c r="R52" s="23">
        <v>0</v>
      </c>
      <c r="S52" s="23"/>
      <c r="T52" s="23">
        <v>10000</v>
      </c>
      <c r="U52" s="301"/>
      <c r="V52" s="303"/>
    </row>
    <row r="53" spans="16:22">
      <c r="P53" s="78">
        <v>400</v>
      </c>
      <c r="Q53" s="23">
        <v>0.7</v>
      </c>
      <c r="R53" s="23">
        <v>0.1</v>
      </c>
      <c r="S53" s="23"/>
      <c r="T53" s="23">
        <v>10000</v>
      </c>
      <c r="U53" s="301"/>
      <c r="V53" s="303"/>
    </row>
    <row r="54" spans="16:22">
      <c r="P54" s="78">
        <v>450</v>
      </c>
      <c r="Q54" s="23">
        <v>1.3</v>
      </c>
      <c r="R54" s="23">
        <v>0.3</v>
      </c>
      <c r="S54" s="23"/>
      <c r="T54" s="23">
        <v>10000</v>
      </c>
      <c r="U54" s="301"/>
      <c r="V54" s="303"/>
    </row>
    <row r="55" spans="16:22">
      <c r="P55" s="78">
        <v>500</v>
      </c>
      <c r="Q55" s="23">
        <v>2.2999999999999998</v>
      </c>
      <c r="R55" s="23">
        <v>0.5</v>
      </c>
      <c r="S55" s="23"/>
      <c r="T55" s="23">
        <v>10000</v>
      </c>
      <c r="U55" s="301"/>
      <c r="V55" s="303"/>
    </row>
    <row r="56" spans="16:22">
      <c r="P56" s="78">
        <v>550</v>
      </c>
      <c r="Q56" s="23">
        <v>3.5</v>
      </c>
      <c r="R56" s="23">
        <v>0.8</v>
      </c>
      <c r="S56" s="23"/>
      <c r="T56" s="23">
        <v>10000</v>
      </c>
      <c r="U56" s="301"/>
      <c r="V56" s="303"/>
    </row>
    <row r="57" spans="16:22" ht="15.75" thickBot="1">
      <c r="P57" s="79">
        <v>600</v>
      </c>
      <c r="Q57" s="30">
        <v>4.7</v>
      </c>
      <c r="R57" s="30">
        <v>1.3</v>
      </c>
      <c r="S57" s="30"/>
      <c r="T57" s="30">
        <v>10000</v>
      </c>
      <c r="U57" s="298"/>
      <c r="V57" s="299"/>
    </row>
    <row r="58" spans="16:22" ht="45">
      <c r="P58" s="42">
        <v>360</v>
      </c>
      <c r="Q58" s="37"/>
      <c r="R58" s="37">
        <v>0.02</v>
      </c>
      <c r="S58" s="37">
        <v>0.02</v>
      </c>
      <c r="T58" s="39" t="s">
        <v>352</v>
      </c>
      <c r="U58" s="300" t="s">
        <v>353</v>
      </c>
      <c r="V58" s="302" t="s">
        <v>354</v>
      </c>
    </row>
    <row r="59" spans="16:22" ht="45.75" thickBot="1">
      <c r="P59" s="79">
        <v>400</v>
      </c>
      <c r="Q59" s="30"/>
      <c r="R59" s="30">
        <v>0.05</v>
      </c>
      <c r="S59" s="30">
        <v>0.15</v>
      </c>
      <c r="T59" s="192" t="s">
        <v>352</v>
      </c>
      <c r="U59" s="298"/>
      <c r="V59" s="299"/>
    </row>
    <row r="60" spans="16:22">
      <c r="P60" s="42">
        <v>300</v>
      </c>
      <c r="Q60" s="37">
        <v>0.8</v>
      </c>
      <c r="R60" s="37">
        <v>0</v>
      </c>
      <c r="S60" s="37"/>
      <c r="T60" s="37">
        <v>10000</v>
      </c>
      <c r="U60" s="300" t="s">
        <v>355</v>
      </c>
      <c r="V60" s="302" t="s">
        <v>356</v>
      </c>
    </row>
    <row r="61" spans="16:22">
      <c r="P61" s="78">
        <v>350</v>
      </c>
      <c r="Q61" s="23">
        <v>1.9</v>
      </c>
      <c r="R61" s="23">
        <v>0</v>
      </c>
      <c r="S61" s="23"/>
      <c r="T61" s="23">
        <v>10000</v>
      </c>
      <c r="U61" s="301"/>
      <c r="V61" s="303"/>
    </row>
    <row r="62" spans="16:22">
      <c r="P62" s="78">
        <v>400</v>
      </c>
      <c r="Q62" s="23"/>
      <c r="R62" s="23">
        <v>0</v>
      </c>
      <c r="S62" s="23"/>
      <c r="T62" s="23">
        <v>10000</v>
      </c>
      <c r="U62" s="301"/>
      <c r="V62" s="303"/>
    </row>
    <row r="63" spans="16:22" ht="15.75" thickBot="1">
      <c r="P63" s="79">
        <v>450</v>
      </c>
      <c r="Q63" s="30"/>
      <c r="R63" s="30">
        <v>0.1</v>
      </c>
      <c r="S63" s="30"/>
      <c r="T63" s="30">
        <v>10000</v>
      </c>
      <c r="U63" s="298"/>
      <c r="V63" s="299"/>
    </row>
    <row r="64" spans="16:22">
      <c r="P64" s="42">
        <v>420</v>
      </c>
      <c r="Q64" s="37"/>
      <c r="R64" s="37">
        <v>0.12</v>
      </c>
      <c r="S64" s="37"/>
      <c r="T64" s="68" t="s">
        <v>357</v>
      </c>
      <c r="U64" s="310" t="s">
        <v>358</v>
      </c>
      <c r="V64" s="302" t="s">
        <v>359</v>
      </c>
    </row>
    <row r="65" spans="16:22">
      <c r="P65" s="78">
        <v>480</v>
      </c>
      <c r="Q65" s="23"/>
      <c r="R65" s="23">
        <v>0.23</v>
      </c>
      <c r="S65" s="23"/>
      <c r="T65" s="86" t="s">
        <v>357</v>
      </c>
      <c r="U65" s="311"/>
      <c r="V65" s="303"/>
    </row>
    <row r="66" spans="16:22" ht="15.75" thickBot="1">
      <c r="P66" s="79">
        <v>580</v>
      </c>
      <c r="Q66" s="30"/>
      <c r="R66" s="30">
        <v>0.8</v>
      </c>
      <c r="S66" s="30"/>
      <c r="T66" s="130" t="s">
        <v>357</v>
      </c>
      <c r="U66" s="311"/>
      <c r="V66" s="303"/>
    </row>
    <row r="67" spans="16:22">
      <c r="P67" s="42">
        <v>420</v>
      </c>
      <c r="Q67" s="37"/>
      <c r="R67" s="37">
        <v>0.12</v>
      </c>
      <c r="S67" s="37"/>
      <c r="T67" s="68" t="s">
        <v>360</v>
      </c>
      <c r="U67" s="311"/>
      <c r="V67" s="303"/>
    </row>
    <row r="68" spans="16:22">
      <c r="P68" s="78">
        <v>480</v>
      </c>
      <c r="Q68" s="23"/>
      <c r="R68" s="23">
        <v>0.27</v>
      </c>
      <c r="S68" s="23"/>
      <c r="T68" s="86" t="s">
        <v>360</v>
      </c>
      <c r="U68" s="311"/>
      <c r="V68" s="303"/>
    </row>
    <row r="69" spans="16:22" ht="15.75" thickBot="1">
      <c r="P69" s="79">
        <v>580</v>
      </c>
      <c r="Q69" s="30"/>
      <c r="R69" s="30">
        <v>0.95</v>
      </c>
      <c r="S69" s="30"/>
      <c r="T69" s="130" t="s">
        <v>360</v>
      </c>
      <c r="U69" s="311"/>
      <c r="V69" s="303"/>
    </row>
    <row r="70" spans="16:22">
      <c r="P70" s="42">
        <v>420</v>
      </c>
      <c r="Q70" s="37"/>
      <c r="R70" s="37">
        <v>0.16</v>
      </c>
      <c r="S70" s="37"/>
      <c r="T70" s="68" t="s">
        <v>361</v>
      </c>
      <c r="U70" s="311"/>
      <c r="V70" s="303"/>
    </row>
    <row r="71" spans="16:22">
      <c r="P71" s="78">
        <v>480</v>
      </c>
      <c r="Q71" s="23"/>
      <c r="R71" s="23">
        <v>0.28000000000000003</v>
      </c>
      <c r="S71" s="23"/>
      <c r="T71" s="86" t="s">
        <v>361</v>
      </c>
      <c r="U71" s="311"/>
      <c r="V71" s="303"/>
    </row>
    <row r="72" spans="16:22" ht="15.75" thickBot="1">
      <c r="P72" s="79">
        <v>580</v>
      </c>
      <c r="Q72" s="30"/>
      <c r="R72" s="30">
        <v>1.32</v>
      </c>
      <c r="S72" s="30"/>
      <c r="T72" s="130" t="s">
        <v>361</v>
      </c>
      <c r="U72" s="312"/>
      <c r="V72" s="299"/>
    </row>
    <row r="73" spans="16:22">
      <c r="P73" s="42">
        <v>440</v>
      </c>
      <c r="Q73" s="37"/>
      <c r="R73" s="197">
        <f>40*0.01/7.9</f>
        <v>5.0632911392405063E-2</v>
      </c>
      <c r="S73" s="197">
        <f>80*0.01/8.1</f>
        <v>9.876543209876544E-2</v>
      </c>
      <c r="T73" s="37">
        <v>500</v>
      </c>
      <c r="U73" s="300" t="s">
        <v>362</v>
      </c>
      <c r="V73" s="302" t="s">
        <v>363</v>
      </c>
    </row>
    <row r="74" spans="16:22">
      <c r="P74" s="78">
        <v>440</v>
      </c>
      <c r="Q74" s="23"/>
      <c r="R74" s="85">
        <f>60*0.01/7.9</f>
        <v>7.5949367088607583E-2</v>
      </c>
      <c r="S74" s="85">
        <f>120*0.01/8.1</f>
        <v>0.14814814814814814</v>
      </c>
      <c r="T74" s="23">
        <v>1000</v>
      </c>
      <c r="U74" s="301"/>
      <c r="V74" s="303"/>
    </row>
    <row r="75" spans="16:22">
      <c r="P75" s="78">
        <v>440</v>
      </c>
      <c r="Q75" s="23"/>
      <c r="R75" s="85">
        <f>50*0.01/7.9</f>
        <v>6.3291139240506319E-2</v>
      </c>
      <c r="S75" s="85">
        <f>105*0.01/8.1</f>
        <v>0.12962962962962965</v>
      </c>
      <c r="T75" s="23">
        <v>2500</v>
      </c>
      <c r="U75" s="301"/>
      <c r="V75" s="303"/>
    </row>
    <row r="76" spans="16:22" ht="15.75" thickBot="1">
      <c r="P76" s="79">
        <v>440</v>
      </c>
      <c r="Q76" s="30"/>
      <c r="R76" s="198">
        <f>70*0.01/7.9</f>
        <v>8.8607594936708861E-2</v>
      </c>
      <c r="S76" s="198">
        <f>165*0.01/8.1</f>
        <v>0.20370370370370372</v>
      </c>
      <c r="T76" s="30">
        <v>5000</v>
      </c>
      <c r="U76" s="298"/>
      <c r="V76" s="299"/>
    </row>
    <row r="77" spans="16:22" ht="30.75" thickBot="1">
      <c r="P77" s="81">
        <v>440</v>
      </c>
      <c r="Q77" s="31">
        <v>4</v>
      </c>
      <c r="R77" s="31">
        <v>0.6</v>
      </c>
      <c r="S77" s="31">
        <v>7.0000000000000007E-2</v>
      </c>
      <c r="T77" s="31"/>
      <c r="U77" s="219" t="s">
        <v>353</v>
      </c>
      <c r="V77" s="220" t="s">
        <v>374</v>
      </c>
    </row>
    <row r="78" spans="16:22" ht="30.75" thickBot="1">
      <c r="P78" s="221" t="s">
        <v>361</v>
      </c>
      <c r="Q78" s="195"/>
      <c r="R78" s="195">
        <v>5.7000000000000002E-2</v>
      </c>
      <c r="S78" s="195">
        <v>0</v>
      </c>
      <c r="T78" s="195"/>
      <c r="U78" s="195" t="s">
        <v>379</v>
      </c>
      <c r="V78" s="196" t="s">
        <v>375</v>
      </c>
    </row>
    <row r="79" spans="16:22">
      <c r="P79" s="304" t="s">
        <v>376</v>
      </c>
      <c r="Q79" s="39"/>
      <c r="R79" s="222">
        <v>5.8000000000000003E-2</v>
      </c>
      <c r="S79" s="39"/>
      <c r="T79" s="39"/>
      <c r="U79" s="307" t="s">
        <v>350</v>
      </c>
      <c r="V79" s="302" t="s">
        <v>377</v>
      </c>
    </row>
    <row r="80" spans="16:22">
      <c r="P80" s="305"/>
      <c r="Q80" s="107"/>
      <c r="R80" s="217">
        <v>5.8999999999999997E-2</v>
      </c>
      <c r="S80" s="107"/>
      <c r="T80" s="107"/>
      <c r="U80" s="308"/>
      <c r="V80" s="303"/>
    </row>
    <row r="81" spans="16:22">
      <c r="P81" s="305"/>
      <c r="Q81" s="107"/>
      <c r="R81" s="217">
        <v>4.1000000000000002E-2</v>
      </c>
      <c r="S81" s="107"/>
      <c r="T81" s="107"/>
      <c r="U81" s="308"/>
      <c r="V81" s="303"/>
    </row>
    <row r="82" spans="16:22">
      <c r="P82" s="305"/>
      <c r="Q82" s="107"/>
      <c r="R82" s="217">
        <v>4.7E-2</v>
      </c>
      <c r="S82" s="107"/>
      <c r="T82" s="107"/>
      <c r="U82" s="308"/>
      <c r="V82" s="303"/>
    </row>
    <row r="83" spans="16:22">
      <c r="P83" s="305"/>
      <c r="Q83" s="107"/>
      <c r="R83" s="217">
        <v>0.03</v>
      </c>
      <c r="S83" s="107"/>
      <c r="T83" s="107"/>
      <c r="U83" s="308"/>
      <c r="V83" s="303"/>
    </row>
    <row r="84" spans="16:22" ht="15.75" thickBot="1">
      <c r="P84" s="306"/>
      <c r="Q84" s="192"/>
      <c r="R84" s="218">
        <v>2.5999999999999999E-2</v>
      </c>
      <c r="S84" s="192"/>
      <c r="T84" s="192"/>
      <c r="U84" s="309"/>
      <c r="V84" s="299"/>
    </row>
    <row r="85" spans="16:22" ht="30.75" thickBot="1">
      <c r="P85" s="221" t="s">
        <v>361</v>
      </c>
      <c r="Q85" s="195"/>
      <c r="R85" s="223">
        <v>2</v>
      </c>
      <c r="S85" s="195"/>
      <c r="T85" s="195"/>
      <c r="U85" s="195" t="s">
        <v>350</v>
      </c>
      <c r="V85" s="196" t="s">
        <v>378</v>
      </c>
    </row>
  </sheetData>
  <mergeCells count="21">
    <mergeCell ref="B2:B3"/>
    <mergeCell ref="P42:P43"/>
    <mergeCell ref="Q42:S42"/>
    <mergeCell ref="T42:T43"/>
    <mergeCell ref="U42:U43"/>
    <mergeCell ref="V42:V43"/>
    <mergeCell ref="U44:U49"/>
    <mergeCell ref="V44:V49"/>
    <mergeCell ref="U50:U57"/>
    <mergeCell ref="V50:V57"/>
    <mergeCell ref="U58:U59"/>
    <mergeCell ref="V58:V59"/>
    <mergeCell ref="U60:U63"/>
    <mergeCell ref="V60:V63"/>
    <mergeCell ref="U64:U72"/>
    <mergeCell ref="V64:V72"/>
    <mergeCell ref="U73:U76"/>
    <mergeCell ref="V73:V76"/>
    <mergeCell ref="P79:P84"/>
    <mergeCell ref="V79:V84"/>
    <mergeCell ref="U79:U84"/>
  </mergeCells>
  <phoneticPr fontId="8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2EFD3-3791-47CB-80E6-C25E8C1C1692}">
  <dimension ref="B1:T130"/>
  <sheetViews>
    <sheetView zoomScale="90" zoomScaleNormal="90" workbookViewId="0">
      <selection activeCell="N2" sqref="N2:R9"/>
    </sheetView>
  </sheetViews>
  <sheetFormatPr defaultRowHeight="15"/>
  <cols>
    <col min="1" max="1" width="3.42578125" customWidth="1"/>
    <col min="2" max="2" width="9" bestFit="1" customWidth="1"/>
    <col min="3" max="3" width="11.28515625" bestFit="1" customWidth="1"/>
    <col min="4" max="4" width="3.42578125" customWidth="1"/>
    <col min="5" max="5" width="33.42578125" bestFit="1" customWidth="1"/>
    <col min="6" max="6" width="9.5703125" bestFit="1" customWidth="1"/>
    <col min="7" max="7" width="12.42578125" bestFit="1" customWidth="1"/>
    <col min="8" max="8" width="3.28515625" customWidth="1"/>
    <col min="9" max="9" width="6.7109375" bestFit="1" customWidth="1"/>
    <col min="10" max="10" width="12.42578125" bestFit="1" customWidth="1"/>
    <col min="11" max="11" width="9" bestFit="1" customWidth="1"/>
    <col min="12" max="12" width="13.5703125" customWidth="1"/>
    <col min="13" max="13" width="3.28515625" customWidth="1"/>
    <col min="14" max="14" width="8.5703125" bestFit="1" customWidth="1"/>
    <col min="15" max="15" width="6.85546875" bestFit="1" customWidth="1"/>
    <col min="16" max="16" width="7.85546875" bestFit="1" customWidth="1"/>
    <col min="17" max="17" width="9.85546875" bestFit="1" customWidth="1"/>
    <col min="18" max="18" width="10.42578125" bestFit="1" customWidth="1"/>
    <col min="22" max="22" width="8.5703125" bestFit="1" customWidth="1"/>
    <col min="23" max="23" width="6.85546875" bestFit="1" customWidth="1"/>
  </cols>
  <sheetData>
    <row r="1" spans="2:19" ht="15.75" thickBot="1"/>
    <row r="2" spans="2:19" s="95" customFormat="1" ht="32.25" customHeight="1">
      <c r="B2" s="94" t="s">
        <v>169</v>
      </c>
      <c r="C2" s="40" t="s">
        <v>72</v>
      </c>
      <c r="E2" s="94" t="s">
        <v>28</v>
      </c>
      <c r="F2" s="39" t="s">
        <v>207</v>
      </c>
      <c r="G2" s="40" t="s">
        <v>206</v>
      </c>
      <c r="I2" s="94" t="s">
        <v>223</v>
      </c>
      <c r="J2" s="39" t="s">
        <v>226</v>
      </c>
      <c r="K2" s="39" t="s">
        <v>224</v>
      </c>
      <c r="L2" s="40" t="s">
        <v>225</v>
      </c>
      <c r="N2" s="321" t="s">
        <v>28</v>
      </c>
      <c r="O2" s="199" t="s">
        <v>370</v>
      </c>
      <c r="P2" s="200" t="s">
        <v>370</v>
      </c>
      <c r="Q2" s="199" t="s">
        <v>371</v>
      </c>
      <c r="R2" s="201" t="s">
        <v>372</v>
      </c>
    </row>
    <row r="3" spans="2:19">
      <c r="B3" s="87">
        <v>0</v>
      </c>
      <c r="C3" s="96">
        <v>1.6</v>
      </c>
      <c r="D3" s="11"/>
      <c r="E3" s="78"/>
      <c r="F3" s="23"/>
      <c r="G3" s="86"/>
      <c r="I3" s="108">
        <v>0</v>
      </c>
      <c r="J3" s="66">
        <v>0.4</v>
      </c>
      <c r="K3" s="54">
        <v>0</v>
      </c>
      <c r="L3" s="111">
        <f>J3+(J4-J3)*(3.18/10)</f>
        <v>0.68620000000000003</v>
      </c>
      <c r="N3" s="322"/>
      <c r="O3" s="191" t="s">
        <v>153</v>
      </c>
      <c r="P3" s="191" t="s">
        <v>154</v>
      </c>
      <c r="Q3" s="319" t="s">
        <v>167</v>
      </c>
      <c r="R3" s="320"/>
    </row>
    <row r="4" spans="2:19">
      <c r="B4" s="87">
        <v>0.01</v>
      </c>
      <c r="C4" s="96">
        <v>1.6</v>
      </c>
      <c r="D4" s="11"/>
      <c r="E4" s="78" t="s">
        <v>19</v>
      </c>
      <c r="F4" s="88">
        <v>0</v>
      </c>
      <c r="G4" s="100" cm="1">
        <f t="array" ref="G4">IFERROR(
   IF(
      AND(F4 &gt;= MIN($B$3:$C$103), F4 &lt;= MAX($B$3:$B$103)),
      INDEX($C$3:$C$103, MATCH(F4, $B$3:$B$103, 1)) +
      (F4 - INDEX($B$3:$B$103, MATCH(F4, $B$3:$B$103, 1))) *
      (INDEX($C$3:$C$103, MATCH(F4, $B$3:$B$103, 1) + 1) - INDEX($C$3:$C$103, MATCH(F4, $B$3:$B$103, 1))) /
      (INDEX($B$3:$B$103, MATCH(F4, $B$3:$B$103, 1) + 1) - INDEX($B$3:$B$103, MATCH(F4, $B$3:$B$103, 1))),
      "Out of Range"
   ),
   "Out of Range"
)</f>
        <v>1.6</v>
      </c>
      <c r="I4" s="108">
        <v>0.1</v>
      </c>
      <c r="J4" s="66">
        <v>1.3</v>
      </c>
      <c r="K4" s="65">
        <f t="shared" ref="K4:K12" si="0">(I4-$K$15)/(100-$K$15)*100</f>
        <v>6.8221694498850655E-2</v>
      </c>
      <c r="L4" s="67">
        <v>1.3</v>
      </c>
      <c r="N4" s="202" t="s">
        <v>364</v>
      </c>
      <c r="O4" s="203">
        <v>0.75</v>
      </c>
      <c r="P4" s="208">
        <v>1.9800000000000002E-2</v>
      </c>
      <c r="Q4" s="203">
        <v>5.8000000000000003E-2</v>
      </c>
      <c r="R4" s="204">
        <v>5.8999999999999997E-2</v>
      </c>
    </row>
    <row r="5" spans="2:19">
      <c r="B5" s="87">
        <v>0.02</v>
      </c>
      <c r="C5" s="96">
        <v>1.6</v>
      </c>
      <c r="D5" s="11"/>
      <c r="E5" s="78" t="s">
        <v>18</v>
      </c>
      <c r="F5" s="88">
        <v>5.0599999999999999E-2</v>
      </c>
      <c r="G5" s="100" cm="1">
        <f t="array" ref="G5">IFERROR(
   IF(
      AND(F5 &gt;= MIN($B$3:$C$103), F5 &lt;= MAX($B$3:$B$103)),
      INDEX($C$3:$C$103, MATCH(F5, $B$3:$B$103, 1)) +
      (F5 - INDEX($B$3:$B$103, MATCH(F5, $B$3:$B$103, 1))) *
      (INDEX($C$3:$C$103, MATCH(F5, $B$3:$B$103, 1) + 1) - INDEX($C$3:$C$103, MATCH(F5, $B$3:$B$103, 1))) /
      (INDEX($B$3:$B$103, MATCH(F5, $B$3:$B$103, 1) + 1) - INDEX($B$3:$B$103, MATCH(F5, $B$3:$B$103, 1))),
      "Out of Range"
   ),
   "Out of Range"
)</f>
        <v>1.5897000000000001</v>
      </c>
      <c r="I5" s="108">
        <v>0.2</v>
      </c>
      <c r="J5" s="66">
        <v>1.6</v>
      </c>
      <c r="K5" s="65">
        <f t="shared" si="0"/>
        <v>0.16825350461446742</v>
      </c>
      <c r="L5" s="67">
        <v>1.6</v>
      </c>
      <c r="N5" s="202" t="s">
        <v>365</v>
      </c>
      <c r="O5" s="203">
        <v>1.4</v>
      </c>
      <c r="P5" s="208">
        <v>3.6900000000000002E-2</v>
      </c>
      <c r="Q5" s="203">
        <v>5.8999999999999997E-2</v>
      </c>
      <c r="R5" s="204">
        <v>5.8000000000000003E-2</v>
      </c>
    </row>
    <row r="6" spans="2:19">
      <c r="B6" s="87">
        <v>0.03</v>
      </c>
      <c r="C6" s="96">
        <v>1.6</v>
      </c>
      <c r="D6" s="11"/>
      <c r="E6" s="78" t="s">
        <v>17</v>
      </c>
      <c r="F6" s="88">
        <v>8.9899999999999994E-2</v>
      </c>
      <c r="G6" s="100" cm="1">
        <f t="array" ref="G6">IFERROR(
   IF(
      AND(F6 &gt;= MIN($B$3:$C$103), F6 &lt;= MAX($B$3:$B$103)),
      INDEX($C$3:$C$103, MATCH(F6, $B$3:$B$103, 1)) +
      (F6 - INDEX($B$3:$B$103, MATCH(F6, $B$3:$B$103, 1))) *
      (INDEX($C$3:$C$103, MATCH(F6, $B$3:$B$103, 1) + 1) - INDEX($C$3:$C$103, MATCH(F6, $B$3:$B$103, 1))) /
      (INDEX($B$3:$B$103, MATCH(F6, $B$3:$B$103, 1) + 1) - INDEX($B$3:$B$103, MATCH(F6, $B$3:$B$103, 1))),
      "Out of Range"
   ),
   "Out of Range"
)</f>
        <v>1.5700500000000002</v>
      </c>
      <c r="I6" s="108">
        <v>0.3</v>
      </c>
      <c r="J6" s="66">
        <v>1.5</v>
      </c>
      <c r="K6" s="65">
        <f t="shared" si="0"/>
        <v>0.26828531473008421</v>
      </c>
      <c r="L6" s="67">
        <v>1.5</v>
      </c>
      <c r="N6" s="202" t="s">
        <v>366</v>
      </c>
      <c r="O6" s="203">
        <v>2</v>
      </c>
      <c r="P6" s="208">
        <v>5.28E-2</v>
      </c>
      <c r="Q6" s="203">
        <v>4.1000000000000002E-2</v>
      </c>
      <c r="R6" s="204">
        <v>5.5E-2</v>
      </c>
      <c r="S6" s="2"/>
    </row>
    <row r="7" spans="2:19">
      <c r="B7" s="87">
        <v>0.04</v>
      </c>
      <c r="C7" s="96">
        <v>1.595</v>
      </c>
      <c r="D7" s="11"/>
      <c r="E7" s="78" t="s">
        <v>16</v>
      </c>
      <c r="F7" s="88">
        <v>0.22090000000000001</v>
      </c>
      <c r="G7" s="100" cm="1">
        <f t="array" ref="G7">IFERROR(
   IF(
      AND(F7 &gt;= MIN($B$3:$C$103), F7 &lt;= MAX($B$3:$B$103)),
      INDEX($C$3:$C$103, MATCH(F7, $B$3:$B$103, 1)) +
      (F7 - INDEX($B$3:$B$103, MATCH(F7, $B$3:$B$103, 1))) *
      (INDEX($C$3:$C$103, MATCH(F7, $B$3:$B$103, 1) + 1) - INDEX($C$3:$C$103, MATCH(F7, $B$3:$B$103, 1))) /
      (INDEX($B$3:$B$103, MATCH(F7, $B$3:$B$103, 1) + 1) - INDEX($B$3:$B$103, MATCH(F7, $B$3:$B$103, 1))),
      "Out of Range"
   ),
   "Out of Range"
)</f>
        <v>1.4409999999999998</v>
      </c>
      <c r="I7" s="108">
        <v>0.4</v>
      </c>
      <c r="J7" s="66">
        <v>1.3</v>
      </c>
      <c r="K7" s="65">
        <f t="shared" si="0"/>
        <v>0.36831712484570095</v>
      </c>
      <c r="L7" s="67">
        <v>1.3</v>
      </c>
      <c r="N7" s="202" t="s">
        <v>367</v>
      </c>
      <c r="O7" s="203">
        <v>2.6</v>
      </c>
      <c r="P7" s="208">
        <v>6.8599999999999994E-2</v>
      </c>
      <c r="Q7" s="203">
        <v>4.7E-2</v>
      </c>
      <c r="R7" s="204">
        <v>5.2999999999999999E-2</v>
      </c>
    </row>
    <row r="8" spans="2:19">
      <c r="B8" s="87">
        <v>0.05</v>
      </c>
      <c r="C8" s="96">
        <v>1.59</v>
      </c>
      <c r="D8" s="11"/>
      <c r="E8" s="78" t="s">
        <v>15</v>
      </c>
      <c r="F8" s="88">
        <v>0.32400000000000001</v>
      </c>
      <c r="G8" s="100" cm="1">
        <f t="array" ref="G8">IFERROR(
   IF(
      AND(F8 &gt;= MIN($B$3:$C$103), F8 &lt;= MAX($B$3:$B$103)),
      INDEX($C$3:$C$103, MATCH(F8, $B$3:$B$103, 1)) +
      (F8 - INDEX($B$3:$B$103, MATCH(F8, $B$3:$B$103, 1))) *
      (INDEX($C$3:$C$103, MATCH(F8, $B$3:$B$103, 1) + 1) - INDEX($C$3:$C$103, MATCH(F8, $B$3:$B$103, 1))) /
      (INDEX($B$3:$B$103, MATCH(F8, $B$3:$B$103, 1) + 1) - INDEX($B$3:$B$103, MATCH(F8, $B$3:$B$103, 1))),
      "Out of Range"
   ),
   "Out of Range"
)</f>
        <v>1.3137181818181833</v>
      </c>
      <c r="I8" s="108">
        <v>0.5</v>
      </c>
      <c r="J8" s="66">
        <v>1.1000000000000001</v>
      </c>
      <c r="K8" s="65">
        <f t="shared" si="0"/>
        <v>0.46834893496131769</v>
      </c>
      <c r="L8" s="67">
        <v>1.1000000000000001</v>
      </c>
      <c r="N8" s="202" t="s">
        <v>368</v>
      </c>
      <c r="O8" s="203">
        <v>4.5999999999999996</v>
      </c>
      <c r="P8" s="208">
        <v>0.12139999999999999</v>
      </c>
      <c r="Q8" s="203">
        <v>0.03</v>
      </c>
      <c r="R8" s="204">
        <v>3.9E-2</v>
      </c>
    </row>
    <row r="9" spans="2:19" ht="15.75" thickBot="1">
      <c r="B9" s="87">
        <v>0.06</v>
      </c>
      <c r="C9" s="96">
        <v>1.585</v>
      </c>
      <c r="D9" s="11"/>
      <c r="E9" s="79" t="s">
        <v>388</v>
      </c>
      <c r="F9" s="56">
        <v>0.99999999999999001</v>
      </c>
      <c r="G9" s="101" cm="1">
        <f t="array" ref="G9">IFERROR(
   IF(
      AND(F9 &gt;= MIN($B$3:$C$103), F9 &lt;= MAX($B$3:$B$103)),
      INDEX($C$3:$C$103, MATCH(F9, $B$3:$B$103, 1)) +
      (F9 - INDEX($B$3:$B$103, MATCH(F9, $B$3:$B$103, 1))) *
      (INDEX($C$3:$C$103, MATCH(F9, $B$3:$B$103, 1) + 1) - INDEX($C$3:$C$103, MATCH(F9, $B$3:$B$103, 1))) /
      (INDEX($B$3:$B$103, MATCH(F9, $B$3:$B$103, 1) + 1) - INDEX($B$3:$B$103, MATCH(F9, $B$3:$B$103, 1))),
      "Out of Range"
   ),
   "Out of Range"
)</f>
        <v>0.40000000000000302</v>
      </c>
      <c r="I9" s="108">
        <v>0.6</v>
      </c>
      <c r="J9" s="66">
        <v>0.9</v>
      </c>
      <c r="K9" s="65">
        <f t="shared" si="0"/>
        <v>0.56838074507693448</v>
      </c>
      <c r="L9" s="67">
        <v>0.9</v>
      </c>
      <c r="N9" s="205" t="s">
        <v>369</v>
      </c>
      <c r="O9" s="206">
        <v>7.1</v>
      </c>
      <c r="P9" s="209">
        <v>0.18729999999999999</v>
      </c>
      <c r="Q9" s="206">
        <v>2.5999999999999999E-2</v>
      </c>
      <c r="R9" s="207">
        <v>1.6E-2</v>
      </c>
    </row>
    <row r="10" spans="2:19" ht="15.75" thickBot="1">
      <c r="B10" s="87">
        <v>7.0000000000000007E-2</v>
      </c>
      <c r="C10" s="96">
        <v>1.58</v>
      </c>
      <c r="D10" s="11"/>
      <c r="E10" s="2"/>
      <c r="F10" s="2"/>
      <c r="G10" s="102"/>
      <c r="I10" s="108">
        <v>0.70000000000000007</v>
      </c>
      <c r="J10" s="66">
        <v>0.77</v>
      </c>
      <c r="K10" s="65">
        <f t="shared" si="0"/>
        <v>0.66841255519255127</v>
      </c>
      <c r="L10" s="67">
        <v>0.75</v>
      </c>
    </row>
    <row r="11" spans="2:19" ht="15.75" thickBot="1">
      <c r="B11" s="87">
        <v>0.08</v>
      </c>
      <c r="C11" s="96">
        <v>1.575</v>
      </c>
      <c r="D11" s="11"/>
      <c r="E11" s="98">
        <f>CM!E25</f>
        <v>0</v>
      </c>
      <c r="F11" s="103" t="str">
        <f>IFERROR(VLOOKUP(E11, E4:F9, 2, FALSE), "No Match")</f>
        <v>No Match</v>
      </c>
      <c r="G11" s="104" t="str" cm="1">
        <f t="array" ref="G11">IFERROR(
   IF(
      AND(F11 &gt;= MIN($B$3:$C$103), F11 &lt;= MAX($B$3:$B$103)),
      INDEX($C$3:$C$103, MATCH(F11, $B$3:$B$103, 1)) +
      (F11 - INDEX($B$3:$B$103, MATCH(F11, $B$3:$B$103, 1))) *
      (INDEX($C$3:$C$103, MATCH(F11, $B$3:$B$103, 1) + 1) - INDEX($C$3:$C$103, MATCH(F11, $B$3:$B$103, 1))) /
      (INDEX($B$3:$B$103, MATCH(F11, $B$3:$B$103, 1) + 1) - INDEX($B$3:$B$103, MATCH(F11, $B$3:$B$103, 1))),
      "Out of Range"
   ),
   "Out of Range"
)</f>
        <v>Out of Range</v>
      </c>
      <c r="I11" s="108">
        <v>0.8</v>
      </c>
      <c r="J11" s="66">
        <v>0.6</v>
      </c>
      <c r="K11" s="65">
        <f t="shared" si="0"/>
        <v>0.76844436530816795</v>
      </c>
      <c r="L11" s="67">
        <v>0.6</v>
      </c>
    </row>
    <row r="12" spans="2:19" ht="15.75" thickBot="1">
      <c r="B12" s="87">
        <v>0.09</v>
      </c>
      <c r="C12" s="96">
        <v>1.57</v>
      </c>
      <c r="D12" s="11"/>
      <c r="I12" s="108">
        <v>0.9</v>
      </c>
      <c r="J12" s="66">
        <v>0.5</v>
      </c>
      <c r="K12" s="65">
        <f t="shared" si="0"/>
        <v>0.86847617542378486</v>
      </c>
      <c r="L12" s="67">
        <v>0.5</v>
      </c>
    </row>
    <row r="13" spans="2:19" ht="18.75" thickBot="1">
      <c r="B13" s="87">
        <v>0.1</v>
      </c>
      <c r="C13" s="96">
        <v>1.56</v>
      </c>
      <c r="D13" s="11"/>
      <c r="E13" s="105" t="str">
        <f>CM!B30</f>
        <v>Relative location percentage input</v>
      </c>
      <c r="F13" s="37" t="s">
        <v>211</v>
      </c>
      <c r="G13" s="106">
        <f>CM!E30</f>
        <v>4.9868073878627968E-2</v>
      </c>
      <c r="I13" s="109">
        <v>1</v>
      </c>
      <c r="J13" s="110">
        <v>0.4</v>
      </c>
      <c r="K13" s="51">
        <v>1</v>
      </c>
      <c r="L13" s="41">
        <v>0.4</v>
      </c>
    </row>
    <row r="14" spans="2:19" ht="18.75" thickBot="1">
      <c r="B14" s="87">
        <v>0.11</v>
      </c>
      <c r="C14" s="96">
        <v>1.55</v>
      </c>
      <c r="D14" s="11"/>
      <c r="E14" s="78" t="s">
        <v>220</v>
      </c>
      <c r="F14" s="23" t="s">
        <v>218</v>
      </c>
      <c r="G14" s="100" cm="1">
        <f t="array" ref="G14">IFERROR(
   IF(
      AND(G13 &gt;= MIN(B3:B103), G13 &lt;= MAX(B3:B103)),
      INDEX(C3:C103, MATCH(G13, B3:B103, 1)) +
      (G13 - INDEX(B3:B103, MATCH(G13, B3:B103, 1))) *
      (INDEX(C3:C103, MATCH(G13, B3:B103, 1) + 1) - INDEX(C3:C103, MATCH(G13, B3:B103, 1))) /
      (INDEX(B3:B103, MATCH(G13, B3:B103, 1) + 1) - INDEX(B3:B103, MATCH(G13, B3:B103, 1))),
      "Out of Range"
   ),
   "Out of Range"
)</f>
        <v>1.5900659630606861</v>
      </c>
      <c r="H14" s="11"/>
    </row>
    <row r="15" spans="2:19" ht="18.75" thickBot="1">
      <c r="B15" s="87">
        <v>0.12</v>
      </c>
      <c r="C15" s="96">
        <v>1.54</v>
      </c>
      <c r="D15" s="11"/>
      <c r="E15" s="79" t="s">
        <v>221</v>
      </c>
      <c r="F15" s="30" t="s">
        <v>222</v>
      </c>
      <c r="G15" s="57">
        <v>1.6</v>
      </c>
      <c r="I15" s="317" t="s">
        <v>227</v>
      </c>
      <c r="J15" s="253"/>
      <c r="K15" s="62">
        <v>3.1800000000000002E-2</v>
      </c>
    </row>
    <row r="16" spans="2:19" ht="15.75" thickBot="1">
      <c r="B16" s="87">
        <v>0.13</v>
      </c>
      <c r="C16" s="96">
        <v>1.53</v>
      </c>
      <c r="D16" s="11"/>
      <c r="I16" s="318" t="s">
        <v>228</v>
      </c>
      <c r="J16" s="316"/>
      <c r="K16" s="52">
        <v>0</v>
      </c>
    </row>
    <row r="17" spans="2:13">
      <c r="B17" s="87">
        <v>0.14000000000000001</v>
      </c>
      <c r="C17" s="96">
        <v>1.52</v>
      </c>
      <c r="D17" s="11"/>
    </row>
    <row r="18" spans="2:13">
      <c r="B18" s="87">
        <v>0.15</v>
      </c>
      <c r="C18" s="96">
        <v>1.51</v>
      </c>
      <c r="D18" s="11"/>
    </row>
    <row r="19" spans="2:13">
      <c r="B19" s="87">
        <v>0.16</v>
      </c>
      <c r="C19" s="96">
        <v>1.5</v>
      </c>
      <c r="D19" s="11"/>
      <c r="E19" s="14"/>
    </row>
    <row r="20" spans="2:13">
      <c r="B20" s="87">
        <v>0.17</v>
      </c>
      <c r="C20" s="96">
        <v>1.49</v>
      </c>
      <c r="D20" s="11"/>
      <c r="E20" s="14"/>
      <c r="L20" s="12"/>
      <c r="M20" s="12"/>
    </row>
    <row r="21" spans="2:13">
      <c r="B21" s="87">
        <v>0.18</v>
      </c>
      <c r="C21" s="96">
        <v>1.48</v>
      </c>
      <c r="D21" s="11"/>
      <c r="E21" s="14"/>
      <c r="L21" s="12"/>
      <c r="M21" s="12"/>
    </row>
    <row r="22" spans="2:13">
      <c r="B22" s="87">
        <v>0.19</v>
      </c>
      <c r="C22" s="96">
        <v>1.47</v>
      </c>
      <c r="D22" s="11"/>
    </row>
    <row r="23" spans="2:13">
      <c r="B23" s="87">
        <v>0.2</v>
      </c>
      <c r="C23" s="96">
        <v>1.4618999999999998</v>
      </c>
      <c r="D23" s="11"/>
    </row>
    <row r="24" spans="2:13">
      <c r="B24" s="87">
        <v>0.21</v>
      </c>
      <c r="C24" s="96">
        <v>1.4518999999999997</v>
      </c>
      <c r="D24" s="11"/>
    </row>
    <row r="25" spans="2:13">
      <c r="B25" s="87">
        <v>0.22</v>
      </c>
      <c r="C25" s="96">
        <v>1.4418999999999997</v>
      </c>
      <c r="D25" s="11"/>
    </row>
    <row r="26" spans="2:13">
      <c r="B26" s="87">
        <v>0.23</v>
      </c>
      <c r="C26" s="96">
        <v>1.4318999999999997</v>
      </c>
      <c r="D26" s="11"/>
    </row>
    <row r="27" spans="2:13">
      <c r="B27" s="87">
        <v>0.24</v>
      </c>
      <c r="C27" s="96">
        <v>1.4218999999999997</v>
      </c>
      <c r="D27" s="11"/>
      <c r="L27" s="12"/>
      <c r="M27" s="12"/>
    </row>
    <row r="28" spans="2:13">
      <c r="B28" s="87">
        <v>0.25</v>
      </c>
      <c r="C28" s="96">
        <v>1.4118999999999997</v>
      </c>
      <c r="D28" s="11"/>
      <c r="L28" s="12"/>
      <c r="M28" s="12"/>
    </row>
    <row r="29" spans="2:13">
      <c r="B29" s="87">
        <v>0.26</v>
      </c>
      <c r="C29" s="96">
        <v>1.4018999999999997</v>
      </c>
      <c r="D29" s="11"/>
      <c r="L29" s="12"/>
      <c r="M29" s="12"/>
    </row>
    <row r="30" spans="2:13">
      <c r="B30" s="87">
        <v>0.27</v>
      </c>
      <c r="C30" s="96">
        <v>1.3918999999999997</v>
      </c>
      <c r="D30" s="11"/>
      <c r="L30" s="12"/>
      <c r="M30" s="12"/>
    </row>
    <row r="31" spans="2:13">
      <c r="B31" s="87">
        <v>0.28000000000000003</v>
      </c>
      <c r="C31" s="96">
        <v>1.3869000000000018</v>
      </c>
      <c r="D31" s="11"/>
    </row>
    <row r="32" spans="2:13">
      <c r="B32" s="87">
        <v>0.28999999999999998</v>
      </c>
      <c r="C32" s="96">
        <v>1.3699000000000001</v>
      </c>
      <c r="D32" s="11"/>
    </row>
    <row r="33" spans="2:20">
      <c r="B33" s="87">
        <v>0.3</v>
      </c>
      <c r="C33" s="96">
        <v>1.357354545454547</v>
      </c>
      <c r="D33" s="11"/>
    </row>
    <row r="34" spans="2:20">
      <c r="B34" s="87">
        <v>0.31</v>
      </c>
      <c r="C34" s="96">
        <v>1.339172727272729</v>
      </c>
      <c r="D34" s="11"/>
    </row>
    <row r="35" spans="2:20">
      <c r="B35" s="87">
        <v>0.32</v>
      </c>
      <c r="C35" s="96">
        <v>1.3209909090909107</v>
      </c>
      <c r="D35" s="11"/>
    </row>
    <row r="36" spans="2:20">
      <c r="B36" s="87">
        <v>0.33</v>
      </c>
      <c r="C36" s="96">
        <v>1.3028090909090924</v>
      </c>
      <c r="D36" s="11"/>
    </row>
    <row r="37" spans="2:20">
      <c r="B37" s="87">
        <v>0.34</v>
      </c>
      <c r="C37" s="96">
        <v>1.2846272727272743</v>
      </c>
      <c r="D37" s="11"/>
      <c r="E37" s="14"/>
    </row>
    <row r="38" spans="2:20">
      <c r="B38" s="87">
        <v>0.35</v>
      </c>
      <c r="C38" s="96">
        <v>1.2718999999999998</v>
      </c>
      <c r="D38" s="11"/>
      <c r="E38" s="14"/>
      <c r="T38" s="14"/>
    </row>
    <row r="39" spans="2:20">
      <c r="B39" s="87">
        <v>0.36</v>
      </c>
      <c r="C39" s="96">
        <v>1.2582636363636379</v>
      </c>
      <c r="D39" s="11"/>
      <c r="E39" s="14"/>
      <c r="T39" s="14"/>
    </row>
    <row r="40" spans="2:20">
      <c r="B40" s="87">
        <v>0.37</v>
      </c>
      <c r="C40" s="96">
        <v>1.2400818181818196</v>
      </c>
      <c r="D40" s="11"/>
      <c r="E40" s="14"/>
      <c r="T40" s="14"/>
    </row>
    <row r="41" spans="2:20">
      <c r="B41" s="87">
        <v>0.38</v>
      </c>
      <c r="C41" s="96">
        <v>1.2219000000000013</v>
      </c>
      <c r="D41" s="11"/>
      <c r="E41" s="14"/>
      <c r="T41" s="14"/>
    </row>
    <row r="42" spans="2:20">
      <c r="B42" s="87">
        <v>0.39</v>
      </c>
      <c r="C42" s="96">
        <v>1.2037181818181835</v>
      </c>
      <c r="D42" s="11"/>
      <c r="E42" s="14"/>
      <c r="T42" s="14"/>
    </row>
    <row r="43" spans="2:20">
      <c r="B43" s="87">
        <v>0.4</v>
      </c>
      <c r="C43" s="96">
        <v>1.1855363636363652</v>
      </c>
      <c r="D43" s="11"/>
      <c r="E43" s="14"/>
      <c r="T43" s="14"/>
    </row>
    <row r="44" spans="2:20">
      <c r="B44" s="87">
        <v>0.41</v>
      </c>
      <c r="C44" s="96">
        <v>1.1673545454545471</v>
      </c>
      <c r="D44" s="11"/>
      <c r="E44" s="14"/>
      <c r="T44" s="14"/>
    </row>
    <row r="45" spans="2:20">
      <c r="B45" s="87">
        <v>0.42</v>
      </c>
      <c r="C45" s="96">
        <v>1.149172727272729</v>
      </c>
      <c r="D45" s="11"/>
      <c r="E45" s="14"/>
      <c r="T45" s="14"/>
    </row>
    <row r="46" spans="2:20">
      <c r="B46" s="87">
        <v>0.43</v>
      </c>
      <c r="C46" s="96">
        <v>1.1309909090909109</v>
      </c>
      <c r="D46" s="11"/>
      <c r="E46" s="14"/>
      <c r="T46" s="14"/>
    </row>
    <row r="47" spans="2:20">
      <c r="B47" s="87">
        <v>0.44</v>
      </c>
      <c r="C47" s="96">
        <v>1.1128090909090924</v>
      </c>
      <c r="D47" s="11"/>
      <c r="E47" s="14"/>
      <c r="T47" s="14"/>
    </row>
    <row r="48" spans="2:20">
      <c r="B48" s="87">
        <v>0.45</v>
      </c>
      <c r="C48" s="96">
        <v>1.0946272727272743</v>
      </c>
      <c r="D48" s="11"/>
      <c r="E48" s="14"/>
      <c r="T48" s="14"/>
    </row>
    <row r="49" spans="2:5">
      <c r="B49" s="87">
        <v>0.46</v>
      </c>
      <c r="C49" s="96">
        <v>1.0764454545454563</v>
      </c>
      <c r="D49" s="11"/>
      <c r="E49" s="14"/>
    </row>
    <row r="50" spans="2:5">
      <c r="B50" s="87">
        <v>0.47</v>
      </c>
      <c r="C50" s="96">
        <v>1.0582636363636382</v>
      </c>
      <c r="D50" s="11"/>
      <c r="E50" s="14"/>
    </row>
    <row r="51" spans="2:5">
      <c r="B51" s="87">
        <v>0.48</v>
      </c>
      <c r="C51" s="96">
        <v>1.0400818181818199</v>
      </c>
      <c r="D51" s="11"/>
      <c r="E51" s="14"/>
    </row>
    <row r="52" spans="2:5">
      <c r="B52" s="87">
        <v>0.49</v>
      </c>
      <c r="C52" s="96">
        <v>1.0219000000000018</v>
      </c>
      <c r="D52" s="11"/>
      <c r="E52" s="14"/>
    </row>
    <row r="53" spans="2:5">
      <c r="B53" s="87">
        <v>0.5</v>
      </c>
      <c r="C53" s="96">
        <v>1.0019000000000018</v>
      </c>
      <c r="D53" s="11"/>
      <c r="E53" s="14"/>
    </row>
    <row r="54" spans="2:5">
      <c r="B54" s="87">
        <v>0.51</v>
      </c>
      <c r="C54" s="96">
        <v>0.98170000000000157</v>
      </c>
      <c r="D54" s="11"/>
      <c r="E54" s="14"/>
    </row>
    <row r="55" spans="2:5">
      <c r="B55" s="87">
        <v>0.52</v>
      </c>
      <c r="C55" s="96">
        <v>0.9618000000000011</v>
      </c>
      <c r="D55" s="11"/>
      <c r="E55" s="14"/>
    </row>
    <row r="56" spans="2:5">
      <c r="B56" s="87">
        <v>0.53</v>
      </c>
      <c r="C56" s="96">
        <v>0.94180000000000064</v>
      </c>
      <c r="D56" s="11"/>
      <c r="E56" s="14"/>
    </row>
    <row r="57" spans="2:5">
      <c r="B57" s="87">
        <v>0.54</v>
      </c>
      <c r="C57" s="96">
        <v>0.92180000000000017</v>
      </c>
      <c r="D57" s="11"/>
      <c r="E57" s="14"/>
    </row>
    <row r="58" spans="2:5">
      <c r="B58" s="87">
        <v>0.55000000000000004</v>
      </c>
      <c r="C58" s="96">
        <v>0.90180000000000016</v>
      </c>
      <c r="D58" s="11"/>
      <c r="E58" s="14"/>
    </row>
    <row r="59" spans="2:5">
      <c r="B59" s="87">
        <v>0.56000000000000005</v>
      </c>
      <c r="C59" s="96">
        <v>0.88180000000000014</v>
      </c>
      <c r="D59" s="11"/>
      <c r="E59" s="43"/>
    </row>
    <row r="60" spans="2:5">
      <c r="B60" s="87">
        <v>0.56999999999999995</v>
      </c>
      <c r="C60" s="96">
        <v>0.86180000000000034</v>
      </c>
      <c r="D60" s="11"/>
      <c r="E60" s="43"/>
    </row>
    <row r="61" spans="2:5">
      <c r="B61" s="87">
        <v>0.57999999999999996</v>
      </c>
      <c r="C61" s="96">
        <v>0.84180000000000033</v>
      </c>
      <c r="D61" s="11"/>
      <c r="E61" s="43"/>
    </row>
    <row r="62" spans="2:5">
      <c r="B62" s="87">
        <v>0.59</v>
      </c>
      <c r="C62" s="96">
        <v>0.8218000000000002</v>
      </c>
      <c r="D62" s="11"/>
      <c r="E62" s="43"/>
    </row>
    <row r="63" spans="2:5">
      <c r="B63" s="87">
        <v>0.6</v>
      </c>
      <c r="C63" s="96">
        <v>0.80816363636363653</v>
      </c>
      <c r="D63" s="11"/>
      <c r="E63" s="43"/>
    </row>
    <row r="64" spans="2:5">
      <c r="B64" s="87">
        <v>0.61</v>
      </c>
      <c r="C64" s="96">
        <v>0.79452727272727286</v>
      </c>
      <c r="D64" s="11"/>
      <c r="E64" s="43"/>
    </row>
    <row r="65" spans="2:5">
      <c r="B65" s="87">
        <v>0.62</v>
      </c>
      <c r="C65" s="96">
        <v>0.78089090909090919</v>
      </c>
      <c r="D65" s="11"/>
      <c r="E65" s="43"/>
    </row>
    <row r="66" spans="2:5">
      <c r="B66" s="87">
        <v>0.63</v>
      </c>
      <c r="C66" s="96">
        <v>0.76725454545454552</v>
      </c>
      <c r="D66" s="11"/>
      <c r="E66" s="43"/>
    </row>
    <row r="67" spans="2:5">
      <c r="B67" s="87">
        <v>0.64</v>
      </c>
      <c r="C67" s="96">
        <v>0.75361818181818185</v>
      </c>
      <c r="D67" s="11"/>
      <c r="E67" s="43"/>
    </row>
    <row r="68" spans="2:5">
      <c r="B68" s="87">
        <v>0.65</v>
      </c>
      <c r="C68" s="96">
        <v>0.73998181818181819</v>
      </c>
      <c r="D68" s="11"/>
      <c r="E68" s="43"/>
    </row>
    <row r="69" spans="2:5">
      <c r="B69" s="87">
        <v>0.66</v>
      </c>
      <c r="C69" s="96">
        <v>0.72634545454545452</v>
      </c>
      <c r="D69" s="11"/>
      <c r="E69" s="43"/>
    </row>
    <row r="70" spans="2:5">
      <c r="B70" s="87">
        <v>0.67</v>
      </c>
      <c r="C70" s="96">
        <v>0.71270909090909096</v>
      </c>
      <c r="D70" s="11"/>
      <c r="E70" s="43"/>
    </row>
    <row r="71" spans="2:5">
      <c r="B71" s="87">
        <v>0.68</v>
      </c>
      <c r="C71" s="96">
        <v>0.69907272727272729</v>
      </c>
      <c r="D71" s="11"/>
      <c r="E71" s="43"/>
    </row>
    <row r="72" spans="2:5">
      <c r="B72" s="87">
        <v>0.69</v>
      </c>
      <c r="C72" s="96">
        <v>0.68543636363636373</v>
      </c>
      <c r="D72" s="11"/>
      <c r="E72" s="43"/>
    </row>
    <row r="73" spans="2:5">
      <c r="B73" s="87">
        <v>0.7</v>
      </c>
      <c r="C73" s="96">
        <v>0.67179999999999995</v>
      </c>
      <c r="D73" s="11"/>
      <c r="E73" s="43"/>
    </row>
    <row r="74" spans="2:5">
      <c r="B74" s="87">
        <v>0.71</v>
      </c>
      <c r="C74" s="96">
        <v>0.65680000000000005</v>
      </c>
      <c r="D74" s="11"/>
      <c r="E74" s="43"/>
    </row>
    <row r="75" spans="2:5">
      <c r="B75" s="87">
        <v>0.72</v>
      </c>
      <c r="C75" s="96">
        <v>0.64179999999999993</v>
      </c>
      <c r="D75" s="11"/>
      <c r="E75" s="43"/>
    </row>
    <row r="76" spans="2:5">
      <c r="B76" s="87">
        <v>0.73</v>
      </c>
      <c r="C76" s="96">
        <v>0.62680000000000002</v>
      </c>
      <c r="D76" s="11"/>
      <c r="E76" s="43"/>
    </row>
    <row r="77" spans="2:5">
      <c r="B77" s="87">
        <v>0.74</v>
      </c>
      <c r="C77" s="96">
        <v>0.6117999999999999</v>
      </c>
      <c r="D77" s="11"/>
      <c r="E77" s="43"/>
    </row>
    <row r="78" spans="2:5">
      <c r="B78" s="87">
        <v>0.75</v>
      </c>
      <c r="C78" s="96">
        <v>0.5968</v>
      </c>
      <c r="D78" s="11"/>
      <c r="E78" s="43"/>
    </row>
    <row r="79" spans="2:5">
      <c r="B79" s="87">
        <v>0.76</v>
      </c>
      <c r="C79" s="96">
        <v>0.58180000000000009</v>
      </c>
      <c r="D79" s="11"/>
      <c r="E79" s="43"/>
    </row>
    <row r="80" spans="2:5">
      <c r="B80" s="87">
        <v>0.77</v>
      </c>
      <c r="C80" s="96">
        <v>0.56679999999999997</v>
      </c>
      <c r="D80" s="11"/>
      <c r="E80" s="43"/>
    </row>
    <row r="81" spans="2:5">
      <c r="B81" s="87">
        <v>0.78</v>
      </c>
      <c r="C81" s="96">
        <v>0.55180000000000007</v>
      </c>
      <c r="D81" s="11"/>
      <c r="E81" s="43"/>
    </row>
    <row r="82" spans="2:5">
      <c r="B82" s="87">
        <v>0.79</v>
      </c>
      <c r="C82" s="96">
        <v>0.53679999999999994</v>
      </c>
      <c r="D82" s="11"/>
      <c r="E82" s="43"/>
    </row>
    <row r="83" spans="2:5">
      <c r="B83" s="87">
        <v>0.8</v>
      </c>
      <c r="C83" s="96">
        <v>0.52179999999999982</v>
      </c>
      <c r="D83" s="11"/>
      <c r="E83" s="43"/>
    </row>
    <row r="84" spans="2:5">
      <c r="B84" s="87">
        <v>0.81</v>
      </c>
      <c r="C84" s="96">
        <v>0.51270909090909067</v>
      </c>
      <c r="D84" s="11"/>
      <c r="E84" s="43"/>
    </row>
    <row r="85" spans="2:5">
      <c r="B85" s="87">
        <v>0.82</v>
      </c>
      <c r="C85" s="96">
        <v>0.50361818181818174</v>
      </c>
      <c r="D85" s="11"/>
      <c r="E85" s="43"/>
    </row>
    <row r="86" spans="2:5">
      <c r="B86" s="87">
        <v>0.83</v>
      </c>
      <c r="C86" s="96">
        <v>0.49452727272727259</v>
      </c>
      <c r="D86" s="11"/>
      <c r="E86" s="43"/>
    </row>
    <row r="87" spans="2:5">
      <c r="B87" s="87">
        <v>0.84</v>
      </c>
      <c r="C87" s="96">
        <v>0.48543636363636355</v>
      </c>
      <c r="D87" s="11"/>
      <c r="E87" s="43"/>
    </row>
    <row r="88" spans="2:5">
      <c r="B88" s="87">
        <v>0.85</v>
      </c>
      <c r="C88" s="96">
        <v>0.47634545454545441</v>
      </c>
      <c r="D88" s="11"/>
      <c r="E88" s="43"/>
    </row>
    <row r="89" spans="2:5">
      <c r="B89" s="87">
        <v>0.86</v>
      </c>
      <c r="C89" s="96">
        <v>0.46725454545454537</v>
      </c>
      <c r="D89" s="11"/>
      <c r="E89" s="43"/>
    </row>
    <row r="90" spans="2:5">
      <c r="B90" s="87">
        <v>0.87</v>
      </c>
      <c r="C90" s="96">
        <v>0.45816363636363622</v>
      </c>
      <c r="D90" s="11"/>
      <c r="E90" s="43"/>
    </row>
    <row r="91" spans="2:5">
      <c r="B91" s="87">
        <v>0.88</v>
      </c>
      <c r="C91" s="96">
        <v>0.44907272727272718</v>
      </c>
      <c r="D91" s="11"/>
      <c r="E91" s="43"/>
    </row>
    <row r="92" spans="2:5">
      <c r="B92" s="87">
        <v>0.89</v>
      </c>
      <c r="C92" s="96">
        <v>0.43998181818181803</v>
      </c>
      <c r="D92" s="11"/>
      <c r="E92" s="43"/>
    </row>
    <row r="93" spans="2:5">
      <c r="B93" s="87">
        <v>0.9</v>
      </c>
      <c r="C93" s="96">
        <v>0.43089090909090899</v>
      </c>
      <c r="D93" s="11"/>
      <c r="E93" s="43"/>
    </row>
    <row r="94" spans="2:5">
      <c r="B94" s="87">
        <v>0.91</v>
      </c>
      <c r="C94" s="96">
        <v>0.42179999999999995</v>
      </c>
      <c r="D94" s="11"/>
      <c r="E94" s="43"/>
    </row>
    <row r="95" spans="2:5">
      <c r="B95" s="87">
        <v>0.92</v>
      </c>
      <c r="C95" s="96">
        <v>0.41068888888888888</v>
      </c>
      <c r="D95" s="11"/>
      <c r="E95" s="43"/>
    </row>
    <row r="96" spans="2:5">
      <c r="B96" s="87">
        <v>0.93</v>
      </c>
      <c r="C96" s="96">
        <v>0.40957777777777782</v>
      </c>
      <c r="D96" s="11"/>
      <c r="E96" s="43"/>
    </row>
    <row r="97" spans="2:5">
      <c r="B97" s="87">
        <v>0.94</v>
      </c>
      <c r="C97" s="96">
        <v>0.40846666666666676</v>
      </c>
      <c r="D97" s="11"/>
      <c r="E97" s="43"/>
    </row>
    <row r="98" spans="2:5">
      <c r="B98" s="87">
        <v>0.95</v>
      </c>
      <c r="C98" s="96">
        <v>0.40735555555555569</v>
      </c>
      <c r="D98" s="11"/>
      <c r="E98" s="43"/>
    </row>
    <row r="99" spans="2:5">
      <c r="B99" s="87">
        <v>0.96</v>
      </c>
      <c r="C99" s="96">
        <v>0.40624444444444463</v>
      </c>
      <c r="D99" s="11"/>
      <c r="E99" s="43"/>
    </row>
    <row r="100" spans="2:5">
      <c r="B100" s="87">
        <v>0.97</v>
      </c>
      <c r="C100" s="96">
        <v>0.40513333333333357</v>
      </c>
      <c r="D100" s="11"/>
      <c r="E100" s="43"/>
    </row>
    <row r="101" spans="2:5">
      <c r="B101" s="87">
        <v>0.98</v>
      </c>
      <c r="C101" s="96">
        <v>0.40402222222222228</v>
      </c>
      <c r="D101" s="11"/>
      <c r="E101" s="43"/>
    </row>
    <row r="102" spans="2:5">
      <c r="B102" s="87">
        <v>0.99</v>
      </c>
      <c r="C102" s="96">
        <v>0.40291111111111122</v>
      </c>
      <c r="D102" s="11"/>
      <c r="E102" s="43"/>
    </row>
    <row r="103" spans="2:5" ht="15.75" thickBot="1">
      <c r="B103" s="55">
        <v>1</v>
      </c>
      <c r="C103" s="57">
        <v>0.40000000000000013</v>
      </c>
      <c r="E103" s="11"/>
    </row>
    <row r="104" spans="2:5" ht="15.75" thickBot="1"/>
    <row r="105" spans="2:5" ht="15.75" thickBot="1">
      <c r="B105" s="92" t="s">
        <v>27</v>
      </c>
      <c r="C105" s="97">
        <f>AVERAGE(C3:C103)</f>
        <v>1.0000000000000007</v>
      </c>
    </row>
    <row r="130" ht="29.25" customHeight="1"/>
  </sheetData>
  <mergeCells count="4">
    <mergeCell ref="I15:J15"/>
    <mergeCell ref="I16:J16"/>
    <mergeCell ref="Q3:R3"/>
    <mergeCell ref="N2:N3"/>
  </mergeCells>
  <phoneticPr fontId="8" type="noConversion"/>
  <pageMargins left="0.7" right="0.7" top="0.75" bottom="0.75" header="0.3" footer="0.3"/>
  <pageSetup paperSize="9" orientation="portrait" horizontalDpi="300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26852E98359E34DA3CD2E2D648225B8" ma:contentTypeVersion="17" ma:contentTypeDescription="Ein neues Dokument erstellen." ma:contentTypeScope="" ma:versionID="ec3afc1a46573c7229fc9e172afef285">
  <xsd:schema xmlns:xsd="http://www.w3.org/2001/XMLSchema" xmlns:xs="http://www.w3.org/2001/XMLSchema" xmlns:p="http://schemas.microsoft.com/office/2006/metadata/properties" xmlns:ns3="6bf65be8-f32b-4285-b8bd-e88ee0997d6e" xmlns:ns4="bc6efced-ccd7-40f3-8a91-ba52c83a32d5" targetNamespace="http://schemas.microsoft.com/office/2006/metadata/properties" ma:root="true" ma:fieldsID="aa1ecf3a50e5439ee1c3cd11f803f264" ns3:_="" ns4:_="">
    <xsd:import namespace="6bf65be8-f32b-4285-b8bd-e88ee0997d6e"/>
    <xsd:import namespace="bc6efced-ccd7-40f3-8a91-ba52c83a32d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ServiceAutoTags" minOccurs="0"/>
                <xsd:element ref="ns3:MediaLengthInSecond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Location" minOccurs="0"/>
                <xsd:element ref="ns3:MediaServiceObjectDetectorVersions" minOccurs="0"/>
                <xsd:element ref="ns3:MediaServiceSystemTag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bf65be8-f32b-4285-b8bd-e88ee0997d6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6efced-ccd7-40f3-8a91-ba52c83a32d5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Freigabehinweis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6bf65be8-f32b-4285-b8bd-e88ee0997d6e" xsi:nil="true"/>
  </documentManagement>
</p:properties>
</file>

<file path=customXml/itemProps1.xml><?xml version="1.0" encoding="utf-8"?>
<ds:datastoreItem xmlns:ds="http://schemas.openxmlformats.org/officeDocument/2006/customXml" ds:itemID="{9CC423B1-7F01-4D23-82D0-1AEE3B85DA8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bf65be8-f32b-4285-b8bd-e88ee0997d6e"/>
    <ds:schemaRef ds:uri="bc6efced-ccd7-40f3-8a91-ba52c83a32d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AA9B39B-D10D-41AA-956D-646C33FF483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21A30DC-C82D-4B67-B062-BA703C61C276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bc6efced-ccd7-40f3-8a91-ba52c83a32d5"/>
    <ds:schemaRef ds:uri="6bf65be8-f32b-4285-b8bd-e88ee0997d6e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12</vt:i4>
      </vt:variant>
    </vt:vector>
  </HeadingPairs>
  <TitlesOfParts>
    <vt:vector size="12" baseType="lpstr">
      <vt:lpstr>I &amp; O</vt:lpstr>
      <vt:lpstr>I &amp; O Exp</vt:lpstr>
      <vt:lpstr>Result screen</vt:lpstr>
      <vt:lpstr>CM</vt:lpstr>
      <vt:lpstr>q-Q</vt:lpstr>
      <vt:lpstr>l-v table</vt:lpstr>
      <vt:lpstr>k-T</vt:lpstr>
      <vt:lpstr>CR-T</vt:lpstr>
      <vt:lpstr>l-q</vt:lpstr>
      <vt:lpstr>T-xd, CR-xd</vt:lpstr>
      <vt:lpstr>l-CR</vt:lpstr>
      <vt:lpstr>T-x</vt:lpstr>
    </vt:vector>
  </TitlesOfParts>
  <Company>Aalto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Pirkola Pekka</dc:creator>
  <cp:lastModifiedBy>David Good</cp:lastModifiedBy>
  <dcterms:created xsi:type="dcterms:W3CDTF">2024-12-16T10:52:57Z</dcterms:created>
  <dcterms:modified xsi:type="dcterms:W3CDTF">2026-02-03T11:44:59Z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0x010100B26852E98359E34DA3CD2E2D648225B8</vt:lpwstr>
  </property>
</Properties>
</file>